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3.xml.rels" ContentType="application/vnd.openxmlformats-package.relationships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1"/>
  </bookViews>
  <sheets>
    <sheet name="Cover" sheetId="1" state="visible" r:id="rId3"/>
    <sheet name="Executive Summary" sheetId="2" state="visible" r:id="rId4"/>
    <sheet name="RFQ Tracker" sheetId="3" state="visible" r:id="rId5"/>
    <sheet name="Bid Comparison" sheetId="4" state="visible" r:id="rId6"/>
    <sheet name="Supplier Scorecard" sheetId="5" state="visible" r:id="rId7"/>
    <sheet name="Analytics" sheetId="6" state="visible" r:id="rId8"/>
    <sheet name="Pipeline View" sheetId="7" state="visible" r:id="rId9"/>
    <sheet name="Supplier Directory" sheetId="8" state="visible" r:id="rId10"/>
    <sheet name="Settings" sheetId="9" state="visible" r:id="rId11"/>
    <sheet name="Instructions" sheetId="10" state="visible" r:id="rId12"/>
  </sheets>
  <definedNames>
    <definedName function="false" hidden="true" localSheetId="2" name="_xlnm._FilterDatabase" vbProcedure="false">'RFQ Tracker'!$B$11:$AB$71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<sst xmlns="http://schemas.openxmlformats.org/spreadsheetml/2006/main" count="1169" uniqueCount="643">
  <si>
    <t xml:space="preserve">AEROSPACE SOURCING
RFQ TRACKER</t>
  </si>
  <si>
    <t xml:space="preserve">Production-Grade Request for Quotation Management System</t>
  </si>
  <si>
    <t xml:space="preserve">VERSION</t>
  </si>
  <si>
    <t xml:space="preserve">2.0</t>
  </si>
  <si>
    <t xml:space="preserve">TOOL TYPE</t>
  </si>
  <si>
    <t xml:space="preserve">RFQ Lifecycle Management</t>
  </si>
  <si>
    <t xml:space="preserve">AUDIENCE</t>
  </si>
  <si>
    <t xml:space="preserve">Aerospace Sourcing &amp; Procurement</t>
  </si>
  <si>
    <t xml:space="preserve">FORMAT</t>
  </si>
  <si>
    <t xml:space="preserve">Microsoft Excel (.xlsx) — No Macros Required</t>
  </si>
  <si>
    <t xml:space="preserve">UPDATED</t>
  </si>
  <si>
    <t xml:space="preserve">March 02, 2026</t>
  </si>
  <si>
    <t xml:space="preserve">WORKBOOK CONTENTS</t>
  </si>
  <si>
    <t xml:space="preserve">Executive Summary</t>
  </si>
  <si>
    <t xml:space="preserve">Portfolio-level KPIs and spend overview for leadership</t>
  </si>
  <si>
    <t xml:space="preserve">RFQ Tracker</t>
  </si>
  <si>
    <t xml:space="preserve">Primary data entry — full RFQ lifecycle from issue to award</t>
  </si>
  <si>
    <t xml:space="preserve">Bid Comparison</t>
  </si>
  <si>
    <t xml:space="preserve">Side-by-side supplier quote analysis per RFQ</t>
  </si>
  <si>
    <t xml:space="preserve">Supplier Scorecard</t>
  </si>
  <si>
    <t xml:space="preserve">Auto-calculated supplier performance metrics</t>
  </si>
  <si>
    <t xml:space="preserve">Analytics Dashboard</t>
  </si>
  <si>
    <t xml:space="preserve">KPIs, cycle time trends, commodity and spend breakdown</t>
  </si>
  <si>
    <t xml:space="preserve">Pipeline View</t>
  </si>
  <si>
    <t xml:space="preserve">Monthly RFQ pipeline heat map by issue and due date</t>
  </si>
  <si>
    <t xml:space="preserve">Settings</t>
  </si>
  <si>
    <t xml:space="preserve">Org name, SLA targets, fiscal year — drives all formulas</t>
  </si>
  <si>
    <t xml:space="preserve">Instructions</t>
  </si>
  <si>
    <t xml:space="preserve">User guide and field definitions</t>
  </si>
  <si>
    <t xml:space="preserve">Built for Aerospace Sourcing Professionals  •  Not connected to ERP/MRP  •  For portfolio demonstration</t>
  </si>
  <si>
    <t xml:space="preserve">EXECUTIVE SUMMARY</t>
  </si>
  <si>
    <t xml:space="preserve">RFQ Portfolio Health at a Glance</t>
  </si>
  <si>
    <t xml:space="preserve">PORTFOLIO KPIs</t>
  </si>
  <si>
    <t xml:space="preserve">TOTAL RFQs</t>
  </si>
  <si>
    <t xml:space="preserve">OPEN</t>
  </si>
  <si>
    <t xml:space="preserve">OVERDUE</t>
  </si>
  <si>
    <t xml:space="preserve">AVG CYCLE TIME</t>
  </si>
  <si>
    <t xml:space="preserve">SAVINGS REALIZED</t>
  </si>
  <si>
    <t xml:space="preserve">SLA COMPLIANCE</t>
  </si>
  <si>
    <t xml:space="preserve">PRIORITY BREAKDOWN</t>
  </si>
  <si>
    <t xml:space="preserve">CRITICAL</t>
  </si>
  <si>
    <t xml:space="preserve">HIGH</t>
  </si>
  <si>
    <t xml:space="preserve">MEDIUM</t>
  </si>
  <si>
    <t xml:space="preserve">LOW</t>
  </si>
  <si>
    <t xml:space="preserve">CLOSED</t>
  </si>
  <si>
    <t xml:space="preserve">ITEMS REQUIRING ATTENTION</t>
  </si>
  <si>
    <t xml:space="preserve">Status</t>
  </si>
  <si>
    <t xml:space="preserve">RFQ Number</t>
  </si>
  <si>
    <t xml:space="preserve">Part Description</t>
  </si>
  <si>
    <t xml:space="preserve">Program</t>
  </si>
  <si>
    <t xml:space="preserve">Priority</t>
  </si>
  <si>
    <t xml:space="preserve">Supplier</t>
  </si>
  <si>
    <t xml:space="preserve">Overdue and At Risk RFQs auto-populate here. Filter the RFQ Tracker tab by SLA Flag = "OVERDUE" or "AT RISK" to see current items.</t>
  </si>
  <si>
    <t xml:space="preserve">SPEND SUMMARY</t>
  </si>
  <si>
    <t xml:space="preserve">Total Target Spend</t>
  </si>
  <si>
    <t xml:space="preserve">Total Awarded Spend</t>
  </si>
  <si>
    <t xml:space="preserve">Net Savings</t>
  </si>
  <si>
    <t xml:space="preserve">Sole Source Awards</t>
  </si>
  <si>
    <t xml:space="preserve">Competitive Awards</t>
  </si>
  <si>
    <t xml:space="preserve">Over-Target Rate</t>
  </si>
  <si>
    <t xml:space="preserve">CYCLE TIME BY COMMODITY (AVG DAYS)</t>
  </si>
  <si>
    <t xml:space="preserve">Commodity</t>
  </si>
  <si>
    <t xml:space="preserve">Avg Cycle Time</t>
  </si>
  <si>
    <t xml:space="preserve">Machined Parts</t>
  </si>
  <si>
    <t xml:space="preserve">Fasteners</t>
  </si>
  <si>
    <t xml:space="preserve">Composites</t>
  </si>
  <si>
    <t xml:space="preserve">Bearings</t>
  </si>
  <si>
    <t xml:space="preserve">Raw Material</t>
  </si>
  <si>
    <t xml:space="preserve">Actuation</t>
  </si>
  <si>
    <t xml:space="preserve">Forgings</t>
  </si>
  <si>
    <t xml:space="preserve">Seals/Gaskets</t>
  </si>
  <si>
    <t xml:space="preserve">All metrics are formula-driven from the RFQ Tracker tab. This summary auto-updates as RFQ data is entered or modified.</t>
  </si>
  <si>
    <t xml:space="preserve">All supplier names, part numbers, and values are synthetic and illustrative only.</t>
  </si>
  <si>
    <t xml:space="preserve">AEROSPACE RFQ TRACKER  —  v2.0</t>
  </si>
  <si>
    <t xml:space="preserve">OPEN RFQs</t>
  </si>
  <si>
    <t xml:space="preserve">AT RISK (≤3 days)</t>
  </si>
  <si>
    <t xml:space="preserve">RESPONSE RATE</t>
  </si>
  <si>
    <t xml:space="preserve">SOLE SOURCE
(AWARDS) %</t>
  </si>
  <si>
    <t xml:space="preserve">CLOSED/AWARDED</t>
  </si>
  <si>
    <t xml:space="preserve">CANCELLED</t>
  </si>
  <si>
    <t xml:space="preserve">SLA BREACHES</t>
  </si>
  <si>
    <t xml:space="preserve">#</t>
  </si>
  <si>
    <t xml:space="preserve">Part Number</t>
  </si>
  <si>
    <t xml:space="preserve">Program /
Project</t>
  </si>
  <si>
    <t xml:space="preserve">Commodity
Code</t>
  </si>
  <si>
    <t xml:space="preserve">Sole
Source</t>
  </si>
  <si>
    <t xml:space="preserve">Supplier
Contacted</t>
  </si>
  <si>
    <t xml:space="preserve">RFQ Issue
Date</t>
  </si>
  <si>
    <t xml:space="preserve">Response
Due Date</t>
  </si>
  <si>
    <t xml:space="preserve">Days
Until Due</t>
  </si>
  <si>
    <t xml:space="preserve">SLA
Flag</t>
  </si>
  <si>
    <t xml:space="preserve">Responses
Received</t>
  </si>
  <si>
    <t xml:space="preserve"># Quotes
Received</t>
  </si>
  <si>
    <t xml:space="preserve">Target
Price ($)</t>
  </si>
  <si>
    <t xml:space="preserve">Lowest
Quote ($)</t>
  </si>
  <si>
    <t xml:space="preserve">2nd Low
Quote ($)</t>
  </si>
  <si>
    <t xml:space="preserve">Savings vs
Target ($)</t>
  </si>
  <si>
    <t xml:space="preserve">Savings vs
Target (%)</t>
  </si>
  <si>
    <t xml:space="preserve">Awarded
Supplier</t>
  </si>
  <si>
    <t xml:space="preserve">Award
Date</t>
  </si>
  <si>
    <t xml:space="preserve">Cycle Time
(days)</t>
  </si>
  <si>
    <t xml:space="preserve">SLA Met?</t>
  </si>
  <si>
    <t xml:space="preserve">Notes</t>
  </si>
  <si>
    <t xml:space="preserve">Quote
Sufficiency</t>
  </si>
  <si>
    <t xml:space="preserve">RFQ-2025-001</t>
  </si>
  <si>
    <t xml:space="preserve">AMS-4928-A</t>
  </si>
  <si>
    <t xml:space="preserve">Ti-6Al-4V Machined Bracket</t>
  </si>
  <si>
    <t xml:space="preserve">F-35 Lot 17</t>
  </si>
  <si>
    <t xml:space="preserve">High</t>
  </si>
  <si>
    <t xml:space="preserve">N</t>
  </si>
  <si>
    <t xml:space="preserve">Vanguard Machining LLC</t>
  </si>
  <si>
    <t xml:space="preserve">Y</t>
  </si>
  <si>
    <t xml:space="preserve">Closed</t>
  </si>
  <si>
    <t xml:space="preserve">Award below target. Solid 3-quote competition.</t>
  </si>
  <si>
    <t xml:space="preserve">RFQ-2025-002</t>
  </si>
  <si>
    <t xml:space="preserve">HEX-7741-B</t>
  </si>
  <si>
    <t xml:space="preserve">Hex Head Bolt MS21250 (Qty 500)</t>
  </si>
  <si>
    <t xml:space="preserve">CH-47 Support</t>
  </si>
  <si>
    <t xml:space="preserve">Low</t>
  </si>
  <si>
    <t xml:space="preserve">Fastener World</t>
  </si>
  <si>
    <t xml:space="preserve">Standard catalog item, excellent pricing.</t>
  </si>
  <si>
    <t xml:space="preserve">RFQ-2025-003</t>
  </si>
  <si>
    <t xml:space="preserve">CMP-0012-C</t>
  </si>
  <si>
    <t xml:space="preserve">Composite Skin Panel Assy</t>
  </si>
  <si>
    <t xml:space="preserve">B-21 PDR</t>
  </si>
  <si>
    <t xml:space="preserve">Critical</t>
  </si>
  <si>
    <t xml:space="preserve">AeroComposites Inc</t>
  </si>
  <si>
    <t xml:space="preserve">Open</t>
  </si>
  <si>
    <t xml:space="preserve">Only 2 quotes received — consider expanding supplier base.</t>
  </si>
  <si>
    <t xml:space="preserve">RFQ-2025-004</t>
  </si>
  <si>
    <t xml:space="preserve">BRG-3310-D</t>
  </si>
  <si>
    <t xml:space="preserve">Angular Contact Bearing 35mm</t>
  </si>
  <si>
    <t xml:space="preserve">UH-60 Overhaul</t>
  </si>
  <si>
    <t xml:space="preserve">Atlas Bearing Corp</t>
  </si>
  <si>
    <t xml:space="preserve">Follow up with SKF — no response yet.</t>
  </si>
  <si>
    <t xml:space="preserve">RFQ-2025-005</t>
  </si>
  <si>
    <t xml:space="preserve">SLV-8821-E</t>
  </si>
  <si>
    <t xml:space="preserve">Aluminum Sleeving AS4373</t>
  </si>
  <si>
    <t xml:space="preserve">General Stock</t>
  </si>
  <si>
    <t xml:space="preserve">Medium</t>
  </si>
  <si>
    <t xml:space="preserve">Metals Direct</t>
  </si>
  <si>
    <t xml:space="preserve">RFQ-2025-006</t>
  </si>
  <si>
    <t xml:space="preserve">ACT-5512-F</t>
  </si>
  <si>
    <t xml:space="preserve">Electromechanical Actuator</t>
  </si>
  <si>
    <t xml:space="preserve">V-22 Mod</t>
  </si>
  <si>
    <t xml:space="preserve">Apex Actuators Inc</t>
  </si>
  <si>
    <t xml:space="preserve">Sole source — OEM only. Justification on file.</t>
  </si>
  <si>
    <t xml:space="preserve">RFQ-2025-007</t>
  </si>
  <si>
    <t xml:space="preserve">HSS-2290-G</t>
  </si>
  <si>
    <t xml:space="preserve">High-Strength Steel Forgings</t>
  </si>
  <si>
    <t xml:space="preserve">Precision Forge Co</t>
  </si>
  <si>
    <t xml:space="preserve">RFQ-2025-008</t>
  </si>
  <si>
    <t xml:space="preserve">SLR-4490-H</t>
  </si>
  <si>
    <t xml:space="preserve">Seals &amp; O-Ring Kit (AS568)</t>
  </si>
  <si>
    <t xml:space="preserve">MRO Stock</t>
  </si>
  <si>
    <t xml:space="preserve">Delta Seal Systems</t>
  </si>
  <si>
    <t xml:space="preserve">RFQ-2025-009</t>
  </si>
  <si>
    <t xml:space="preserve">WRG-6610-I</t>
  </si>
  <si>
    <t xml:space="preserve">Wire Harness Assembly Assy</t>
  </si>
  <si>
    <t xml:space="preserve">AH-64 Mod</t>
  </si>
  <si>
    <t xml:space="preserve">Electrical</t>
  </si>
  <si>
    <t xml:space="preserve">Conduit Aero Corp</t>
  </si>
  <si>
    <t xml:space="preserve">Two quotes in hand; awaiting third.</t>
  </si>
  <si>
    <t xml:space="preserve">RFQ-2025-010</t>
  </si>
  <si>
    <t xml:space="preserve">GBX-1100-J</t>
  </si>
  <si>
    <t xml:space="preserve">Gearbox Housing Casting</t>
  </si>
  <si>
    <t xml:space="preserve">T700 Engine</t>
  </si>
  <si>
    <t xml:space="preserve">Castings</t>
  </si>
  <si>
    <t xml:space="preserve">Summit Castings LLC</t>
  </si>
  <si>
    <t xml:space="preserve">Best value; passed NDI inspection.</t>
  </si>
  <si>
    <t xml:space="preserve">RFQ-2025-011</t>
  </si>
  <si>
    <t xml:space="preserve">FLT-9921-K</t>
  </si>
  <si>
    <t xml:space="preserve">Fuel Line Assembly SS Flex</t>
  </si>
  <si>
    <t xml:space="preserve">Fluid Systems</t>
  </si>
  <si>
    <t xml:space="preserve">FlexLine Corp</t>
  </si>
  <si>
    <t xml:space="preserve">RFQ-2025-012</t>
  </si>
  <si>
    <t xml:space="preserve">NUT-3301-L</t>
  </si>
  <si>
    <t xml:space="preserve">Prevailing Torque Nut MS21042</t>
  </si>
  <si>
    <t xml:space="preserve">AeroFastener Co</t>
  </si>
  <si>
    <t xml:space="preserve">5 competitive bids — best market response this quarter.</t>
  </si>
  <si>
    <t xml:space="preserve">RFQ-2025-013</t>
  </si>
  <si>
    <t xml:space="preserve">PCB-7700-M</t>
  </si>
  <si>
    <t xml:space="preserve">Avionics PCB Assembly</t>
  </si>
  <si>
    <t xml:space="preserve">Avionics</t>
  </si>
  <si>
    <t xml:space="preserve">Northway Avionics</t>
  </si>
  <si>
    <t xml:space="preserve">Sole source OEM. FAR 6.302-1 applies.</t>
  </si>
  <si>
    <t xml:space="preserve">RFQ-2025-014</t>
  </si>
  <si>
    <t xml:space="preserve">TIT-5500-N</t>
  </si>
  <si>
    <t xml:space="preserve">Titanium Bar Stock AMS4928</t>
  </si>
  <si>
    <t xml:space="preserve">Pacific Alloy Supply</t>
  </si>
  <si>
    <t xml:space="preserve">RFQ-2025-015</t>
  </si>
  <si>
    <t xml:space="preserve">SHK-2200-O</t>
  </si>
  <si>
    <t xml:space="preserve">Landing Gear Shock Strut</t>
  </si>
  <si>
    <t xml:space="preserve">Landing Gear</t>
  </si>
  <si>
    <t xml:space="preserve">Stratos Landing Systems</t>
  </si>
  <si>
    <t xml:space="preserve">Critical path item — expedite response.</t>
  </si>
  <si>
    <t xml:space="preserve">RFQ-2025-016</t>
  </si>
  <si>
    <t xml:space="preserve">PIN-4401-A</t>
  </si>
  <si>
    <t xml:space="preserve">Clevis Pin AN392 (Qty 200)</t>
  </si>
  <si>
    <t xml:space="preserve">RFQ-2025-017</t>
  </si>
  <si>
    <t xml:space="preserve">HYD-3320-B</t>
  </si>
  <si>
    <t xml:space="preserve">Hydraulic Manifold Block</t>
  </si>
  <si>
    <t xml:space="preserve">Only 2 quotes — document per policy.</t>
  </si>
  <si>
    <t xml:space="preserve">RFQ-2025-018</t>
  </si>
  <si>
    <t xml:space="preserve">ALU-7710-C</t>
  </si>
  <si>
    <t xml:space="preserve">6061-T6 Aluminum Plate (10 sheets)</t>
  </si>
  <si>
    <t xml:space="preserve">Best market price — 5 quotes.</t>
  </si>
  <si>
    <t xml:space="preserve">RFQ-2025-019</t>
  </si>
  <si>
    <t xml:space="preserve">SEN-1120-D</t>
  </si>
  <si>
    <t xml:space="preserve">Pressure Transducer 0-3000 PSI</t>
  </si>
  <si>
    <t xml:space="preserve">Sensors</t>
  </si>
  <si>
    <t xml:space="preserve">Horizon Aero Systems</t>
  </si>
  <si>
    <t xml:space="preserve">RFQ-2025-020</t>
  </si>
  <si>
    <t xml:space="preserve">CBL-5530-E</t>
  </si>
  <si>
    <t xml:space="preserve">Control Cable Assembly 3/16"</t>
  </si>
  <si>
    <t xml:space="preserve">Mechanical</t>
  </si>
  <si>
    <t xml:space="preserve">Cablewerks Inc</t>
  </si>
  <si>
    <t xml:space="preserve">RFQ-2025-021</t>
  </si>
  <si>
    <t xml:space="preserve">INS-2210-F</t>
  </si>
  <si>
    <t xml:space="preserve">Thermal Insulation Blanket Assy</t>
  </si>
  <si>
    <t xml:space="preserve">UTL Aerotech</t>
  </si>
  <si>
    <t xml:space="preserve">RFQ issued — awaiting initial response.</t>
  </si>
  <si>
    <t xml:space="preserve">RFQ-2025-022</t>
  </si>
  <si>
    <t xml:space="preserve">TRQ-8840-G</t>
  </si>
  <si>
    <t xml:space="preserve">Torque Tube Assy Titanium</t>
  </si>
  <si>
    <t xml:space="preserve">Critical path — expedited award.</t>
  </si>
  <si>
    <t xml:space="preserve">RFQ-2025-023</t>
  </si>
  <si>
    <t xml:space="preserve">NOS-6610-H</t>
  </si>
  <si>
    <t xml:space="preserve">Nose Fairing Fiberglass</t>
  </si>
  <si>
    <t xml:space="preserve">Vertex Composites</t>
  </si>
  <si>
    <t xml:space="preserve">RFQ-2025-024</t>
  </si>
  <si>
    <t xml:space="preserve">GRO-3310-I</t>
  </si>
  <si>
    <t xml:space="preserve">Ground Strap Kit (Qty 50)</t>
  </si>
  <si>
    <t xml:space="preserve">Quotes in. Evaluating.</t>
  </si>
  <si>
    <t xml:space="preserve">RFQ-2025-025</t>
  </si>
  <si>
    <t xml:space="preserve">VAL-7720-J</t>
  </si>
  <si>
    <t xml:space="preserve">Check Valve 1/2 NPT SS</t>
  </si>
  <si>
    <t xml:space="preserve">RFQ-2025-026</t>
  </si>
  <si>
    <t xml:space="preserve">ROT-5540-K</t>
  </si>
  <si>
    <t xml:space="preserve">Rotor Blade Root Fitting</t>
  </si>
  <si>
    <t xml:space="preserve">Below target — strong result.</t>
  </si>
  <si>
    <t xml:space="preserve">RFQ-2025-027</t>
  </si>
  <si>
    <t xml:space="preserve">WHL-9910-L</t>
  </si>
  <si>
    <t xml:space="preserve">Main Wheel Assembly</t>
  </si>
  <si>
    <t xml:space="preserve">Only 2 approved sources.</t>
  </si>
  <si>
    <t xml:space="preserve">RFQ-2025-028</t>
  </si>
  <si>
    <t xml:space="preserve">SCR-1101-M</t>
  </si>
  <si>
    <t xml:space="preserve">Machine Screw NAS1352 (Qty 1000)</t>
  </si>
  <si>
    <t xml:space="preserve">5 quotes received. Pending award.</t>
  </si>
  <si>
    <t xml:space="preserve">RFQ-2025-029</t>
  </si>
  <si>
    <t xml:space="preserve">CON-4420-N</t>
  </si>
  <si>
    <t xml:space="preserve">Environmental Connector MIL-DTL-38999</t>
  </si>
  <si>
    <t xml:space="preserve">RFQ-2025-030</t>
  </si>
  <si>
    <t xml:space="preserve">FRM-6630-O</t>
  </si>
  <si>
    <t xml:space="preserve">Aluminum Frame Weldment</t>
  </si>
  <si>
    <t xml:space="preserve">RFQ-2025-031</t>
  </si>
  <si>
    <t xml:space="preserve">BAT-2201-P</t>
  </si>
  <si>
    <t xml:space="preserve">Aircraft Battery 24V 42AH</t>
  </si>
  <si>
    <t xml:space="preserve">Volt Aero Power</t>
  </si>
  <si>
    <t xml:space="preserve">Sole source OEM. Only qualified supplier.</t>
  </si>
  <si>
    <t xml:space="preserve">RFQ-2025-032</t>
  </si>
  <si>
    <t xml:space="preserve">PMP-7730-Q</t>
  </si>
  <si>
    <t xml:space="preserve">Hydraulic Pump 3000 PSI</t>
  </si>
  <si>
    <t xml:space="preserve">Ridgeline Fluid Power</t>
  </si>
  <si>
    <t xml:space="preserve">Sole source per MIL-SPEC QPL.</t>
  </si>
  <si>
    <t xml:space="preserve">RFQ-2025-033</t>
  </si>
  <si>
    <t xml:space="preserve">GKT-3301-R</t>
  </si>
  <si>
    <t xml:space="preserve">Gasket Kit Engine Seal</t>
  </si>
  <si>
    <t xml:space="preserve">4 quotes received. Award pending.</t>
  </si>
  <si>
    <t xml:space="preserve">RFQ-2025-034</t>
  </si>
  <si>
    <t xml:space="preserve">ANT-5510-S</t>
  </si>
  <si>
    <t xml:space="preserve">Antenna Assembly VHF/UHF</t>
  </si>
  <si>
    <t xml:space="preserve">Sole source — Type certified component.</t>
  </si>
  <si>
    <t xml:space="preserve">RFQ-2025-035</t>
  </si>
  <si>
    <t xml:space="preserve">SHF-8820-T</t>
  </si>
  <si>
    <t xml:space="preserve">Drive Shaft Assy Steel</t>
  </si>
  <si>
    <t xml:space="preserve">RFQ-2025-036</t>
  </si>
  <si>
    <t xml:space="preserve">FLX-2210-U</t>
  </si>
  <si>
    <t xml:space="preserve">Flexible Coupling Assy</t>
  </si>
  <si>
    <t xml:space="preserve">RFQ-2025-037</t>
  </si>
  <si>
    <t xml:space="preserve">OXY-4410-V</t>
  </si>
  <si>
    <t xml:space="preserve">Oxygen Regulator Assy</t>
  </si>
  <si>
    <t xml:space="preserve">Skyline Safety Systems</t>
  </si>
  <si>
    <t xml:space="preserve">Sole source — FAA/PMA only.</t>
  </si>
  <si>
    <t xml:space="preserve">RFQ-2025-038</t>
  </si>
  <si>
    <t xml:space="preserve">BRK-6620-W</t>
  </si>
  <si>
    <t xml:space="preserve">Brake Assembly Multi-Disc</t>
  </si>
  <si>
    <t xml:space="preserve">Savings of $3k vs target.</t>
  </si>
  <si>
    <t xml:space="preserve">RFQ-2025-039</t>
  </si>
  <si>
    <t xml:space="preserve">ENG-1110-X</t>
  </si>
  <si>
    <t xml:space="preserve">Engine Mount Bracket Ti</t>
  </si>
  <si>
    <t xml:space="preserve">New requirement — RFQ just issued.</t>
  </si>
  <si>
    <t xml:space="preserve">RFQ-2025-040</t>
  </si>
  <si>
    <t xml:space="preserve">INV-3320-Y</t>
  </si>
  <si>
    <t xml:space="preserve">DC/AC Power Inverter 400Hz</t>
  </si>
  <si>
    <t xml:space="preserve">Luminar Aero Electronics</t>
  </si>
  <si>
    <t xml:space="preserve">Sole source — qualified avionics supplier.</t>
  </si>
  <si>
    <t xml:space="preserve">RFQ-2025-041</t>
  </si>
  <si>
    <t xml:space="preserve">FRG-2210-A</t>
  </si>
  <si>
    <t xml:space="preserve">Titanium Forging LH Rib</t>
  </si>
  <si>
    <t xml:space="preserve">Sole source — OEM-controlled process. Closed at target.</t>
  </si>
  <si>
    <t xml:space="preserve">RFQ-2025-042</t>
  </si>
  <si>
    <t xml:space="preserve">MCH-4450-B</t>
  </si>
  <si>
    <t xml:space="preserve">Actuator Housing CNC</t>
  </si>
  <si>
    <t xml:space="preserve">Advanced Machining</t>
  </si>
  <si>
    <t xml:space="preserve">4 quotes — 10.9% savings vs target. Strong competition.</t>
  </si>
  <si>
    <t xml:space="preserve">RFQ-2025-043</t>
  </si>
  <si>
    <t xml:space="preserve">BRG-5520-C</t>
  </si>
  <si>
    <t xml:space="preserve">Tapered Roller Bearing 50mm</t>
  </si>
  <si>
    <t xml:space="preserve">Bearing Pro</t>
  </si>
  <si>
    <t xml:space="preserve">Only 2 quotes — LOW COMPETITION flag. Award within target.</t>
  </si>
  <si>
    <t xml:space="preserve">RFQ-2025-044</t>
  </si>
  <si>
    <t xml:space="preserve">ELC-3310-D</t>
  </si>
  <si>
    <t xml:space="preserve">Avionics Power Supply 28V</t>
  </si>
  <si>
    <t xml:space="preserve">Awarded over target — supply constraint. Flagged for next cycle renegotiation.</t>
  </si>
  <si>
    <t xml:space="preserve">RFQ-2025-045</t>
  </si>
  <si>
    <t xml:space="preserve">SEN-9900-E</t>
  </si>
  <si>
    <t xml:space="preserve">Pressure Sensor MIL-Spec</t>
  </si>
  <si>
    <t xml:space="preserve">Sole source — OEM-controlled part. Award below target.</t>
  </si>
  <si>
    <t xml:space="preserve">RFQ-2025-046</t>
  </si>
  <si>
    <t xml:space="preserve">FST-1120-F</t>
  </si>
  <si>
    <t xml:space="preserve">NAS1149 Washer Assortment Qty 2000</t>
  </si>
  <si>
    <t xml:space="preserve">Catalog item — 5 quotes, 14% savings vs target.</t>
  </si>
  <si>
    <t xml:space="preserve">RFQ-2025-047</t>
  </si>
  <si>
    <t xml:space="preserve">HYD-8830-R</t>
  </si>
  <si>
    <t xml:space="preserve">Flight Control Hydraulic Pump</t>
  </si>
  <si>
    <t xml:space="preserve">3 quotes — 5.8% under target. Clean award.</t>
  </si>
  <si>
    <t xml:space="preserve">RFQ-2025-048</t>
  </si>
  <si>
    <t xml:space="preserve">MCH-3340-S</t>
  </si>
  <si>
    <t xml:space="preserve">Gearbox Cover Plate CNC</t>
  </si>
  <si>
    <t xml:space="preserve">Apex Aero Parts</t>
  </si>
  <si>
    <t xml:space="preserve">Competitive award — 3 quotes, 7% savings.</t>
  </si>
  <si>
    <t xml:space="preserve">RFQ-2025-049</t>
  </si>
  <si>
    <t xml:space="preserve">HYD-6630-G</t>
  </si>
  <si>
    <t xml:space="preserve">Cancelled</t>
  </si>
  <si>
    <t xml:space="preserve">Program requirement dropped — cancelled before award.</t>
  </si>
  <si>
    <t xml:space="preserve">RFQ-2025-050</t>
  </si>
  <si>
    <t xml:space="preserve">SEL-2210-H</t>
  </si>
  <si>
    <t xml:space="preserve">Shaft Seal Assembly Custom</t>
  </si>
  <si>
    <t xml:space="preserve">Design change eliminated requirement mid-RFQ.</t>
  </si>
  <si>
    <t xml:space="preserve">RFQ-2025-051</t>
  </si>
  <si>
    <t xml:space="preserve">CMP-3310-T</t>
  </si>
  <si>
    <t xml:space="preserve">Composite Radome Assembly</t>
  </si>
  <si>
    <t xml:space="preserve">Composite Solutions</t>
  </si>
  <si>
    <t xml:space="preserve">On Hold</t>
  </si>
  <si>
    <t xml:space="preserve">On hold — awaiting program office approval to proceed.</t>
  </si>
  <si>
    <t xml:space="preserve">RFQ-2025-052</t>
  </si>
  <si>
    <t xml:space="preserve">ACT-7710-I</t>
  </si>
  <si>
    <t xml:space="preserve">Linear Actuator Assy</t>
  </si>
  <si>
    <t xml:space="preserve">OVERDUE — sole source, no response from Moog. Escalate immediately.</t>
  </si>
  <si>
    <t xml:space="preserve">RFQ-2025-053</t>
  </si>
  <si>
    <t xml:space="preserve">CMP-8820-J</t>
  </si>
  <si>
    <t xml:space="preserve">Carbon Fiber Spar Cap</t>
  </si>
  <si>
    <t xml:space="preserve">Overdue — only 1 quote. LOW COMPETITION. Expand outreach.</t>
  </si>
  <si>
    <t xml:space="preserve">RFQ-2025-054</t>
  </si>
  <si>
    <t xml:space="preserve">GKT-4430-K</t>
  </si>
  <si>
    <t xml:space="preserve">O-Ring Kit MIL-P-5315</t>
  </si>
  <si>
    <t xml:space="preserve">AT RISK — due in 2 days. 3 quotes in hand, ready to award.</t>
  </si>
  <si>
    <t xml:space="preserve">RFQ-2025-055</t>
  </si>
  <si>
    <t xml:space="preserve">ENG-5540-L</t>
  </si>
  <si>
    <t xml:space="preserve">Engine Mount Bushing Ti</t>
  </si>
  <si>
    <t xml:space="preserve">AT RISK — sole source, awaiting quote. Critical part.</t>
  </si>
  <si>
    <t xml:space="preserve">RFQ-2025-056</t>
  </si>
  <si>
    <t xml:space="preserve">RAW-3310-M</t>
  </si>
  <si>
    <t xml:space="preserve">Titanium Bar Stock 6Al-4V</t>
  </si>
  <si>
    <t xml:space="preserve">Titanium Supply Co</t>
  </si>
  <si>
    <t xml:space="preserve">No supplier response yet — follow up required.</t>
  </si>
  <si>
    <t xml:space="preserve">RFQ-2025-057</t>
  </si>
  <si>
    <t xml:space="preserve">FOR-6610-N</t>
  </si>
  <si>
    <t xml:space="preserve">Aluminum Forging Bulkhead</t>
  </si>
  <si>
    <t xml:space="preserve">2 quotes — LOW COMPETITION. Target 3 minimum.</t>
  </si>
  <si>
    <t xml:space="preserve">RFQ-2025-058</t>
  </si>
  <si>
    <t xml:space="preserve">ELC-5510-P</t>
  </si>
  <si>
    <t xml:space="preserve">Flight Computer Interface Card</t>
  </si>
  <si>
    <t xml:space="preserve">Only 1 quote so far — pursuing 2 additional suppliers.</t>
  </si>
  <si>
    <t xml:space="preserve">RFQ-2025-059</t>
  </si>
  <si>
    <t xml:space="preserve">FST-9900-Q</t>
  </si>
  <si>
    <t xml:space="preserve">Bolt MS21250-06028 Qty 1000</t>
  </si>
  <si>
    <t xml:space="preserve">Target price TBD — awaiting BOM confirmation.</t>
  </si>
  <si>
    <t xml:space="preserve">RFQ-2025-060</t>
  </si>
  <si>
    <t xml:space="preserve">SEN-4420-U</t>
  </si>
  <si>
    <t xml:space="preserve">Fuel Flow Sensor MIL-Spec</t>
  </si>
  <si>
    <t xml:space="preserve">Sole source — OEM only. Awaiting quote.</t>
  </si>
  <si>
    <t xml:space="preserve">ROW COLOR LEGEND</t>
  </si>
  <si>
    <t xml:space="preserve">OVERDUE — Open RFQ past response due date. Immediate action required.</t>
  </si>
  <si>
    <t xml:space="preserve">AT RISK — Response due within warning window (configurable in Settings).</t>
  </si>
  <si>
    <t xml:space="preserve">PENDING — Open, awaiting supplier response, due date still future.</t>
  </si>
  <si>
    <t xml:space="preserve">CLOSED — RFQ awarded and complete.</t>
  </si>
  <si>
    <t xml:space="preserve">CANCELLED — RFQ voided. Retained for audit trail.</t>
  </si>
  <si>
    <t xml:space="preserve">BID COMPARISON MATRIX  —  Side-by-Side Supplier Analysis</t>
  </si>
  <si>
    <t xml:space="preserve">Enter RFQ details below. One tab per comparison. Duplicate this sheet for additional RFQs.</t>
  </si>
  <si>
    <t xml:space="preserve">RFQ Number:</t>
  </si>
  <si>
    <t xml:space="preserve">Part Number:</t>
  </si>
  <si>
    <t xml:space="preserve">Description:</t>
  </si>
  <si>
    <t xml:space="preserve">Program:</t>
  </si>
  <si>
    <t xml:space="preserve">Target Price:</t>
  </si>
  <si>
    <t xml:space="preserve">Issue Date:</t>
  </si>
  <si>
    <t xml:space="preserve">Commodity:</t>
  </si>
  <si>
    <t xml:space="preserve">Due Date:</t>
  </si>
  <si>
    <t xml:space="preserve">EVALUATION CRITERIA</t>
  </si>
  <si>
    <t xml:space="preserve">SUPPLIER 1</t>
  </si>
  <si>
    <t xml:space="preserve">SUPPLIER 2</t>
  </si>
  <si>
    <t xml:space="preserve">SUPPLIER 3</t>
  </si>
  <si>
    <t xml:space="preserve">SUPPLIER 4</t>
  </si>
  <si>
    <t xml:space="preserve">SUPPLIER 5</t>
  </si>
  <si>
    <t xml:space="preserve">NOTES</t>
  </si>
  <si>
    <t xml:space="preserve">Supplier Name</t>
  </si>
  <si>
    <t xml:space="preserve">Quoted Price ($)</t>
  </si>
  <si>
    <t xml:space="preserve">Lead Time</t>
  </si>
  <si>
    <t xml:space="preserve">45 days</t>
  </si>
  <si>
    <t xml:space="preserve">60 days</t>
  </si>
  <si>
    <t xml:space="preserve">Quality Certification</t>
  </si>
  <si>
    <t xml:space="preserve">AS9100D</t>
  </si>
  <si>
    <t xml:space="preserve">Previous Awards (Y/N)</t>
  </si>
  <si>
    <t xml:space="preserve">On-Time Delivery Rating</t>
  </si>
  <si>
    <t xml:space="preserve">98%</t>
  </si>
  <si>
    <t xml:space="preserve">95%</t>
  </si>
  <si>
    <t xml:space="preserve">Technical Exceptions</t>
  </si>
  <si>
    <t xml:space="preserve">None</t>
  </si>
  <si>
    <t xml:space="preserve">Minor notes</t>
  </si>
  <si>
    <t xml:space="preserve">Terms (Net)</t>
  </si>
  <si>
    <t xml:space="preserve">Net 30</t>
  </si>
  <si>
    <t xml:space="preserve">Supplier Notes</t>
  </si>
  <si>
    <t xml:space="preserve">Quoted per drawing rev C</t>
  </si>
  <si>
    <t xml:space="preserve">Lead time concern flagged</t>
  </si>
  <si>
    <t xml:space="preserve">Variance vs Target ($)</t>
  </si>
  <si>
    <t xml:space="preserve">Variance vs Target (%)</t>
  </si>
  <si>
    <t xml:space="preserve">LOWEST QUOTE?</t>
  </si>
  <si>
    <t xml:space="preserve">SOURCING RECOMMENDATION</t>
  </si>
  <si>
    <t xml:space="preserve">Recommend award to AeroComposites Inc at $88,500 — lowest compliant bid, $1,500 (1.7%) below target. AS9100D certified, no technical exceptions. Competitive lead time of 45 days meets program schedule.</t>
  </si>
  <si>
    <t xml:space="preserve">SUPPLIER PERFORMANCE SCORECARD  —  Auto-calculated from RFQ Tracker</t>
  </si>
  <si>
    <t xml:space="preserve">Metrics are automatically calculated from the RFQ Tracker sheet. Add supplier names below to track performance.</t>
  </si>
  <si>
    <t xml:space="preserve">RFQs Sent</t>
  </si>
  <si>
    <t xml:space="preserve">Quotes
Received</t>
  </si>
  <si>
    <t xml:space="preserve">Response
Rate</t>
  </si>
  <si>
    <t xml:space="preserve">Awards
Won</t>
  </si>
  <si>
    <t xml:space="preserve">Win
Rate</t>
  </si>
  <si>
    <t xml:space="preserve">Avg Lowest
Quote ($)</t>
  </si>
  <si>
    <t xml:space="preserve">Performance
Rating</t>
  </si>
  <si>
    <t xml:space="preserve">ANALYTICS DASHBOARD  —  Live Metrics from RFQ Tracker</t>
  </si>
  <si>
    <t xml:space="preserve">VOLUME METRICS</t>
  </si>
  <si>
    <t xml:space="preserve">CYCLE TIME METRICS</t>
  </si>
  <si>
    <t xml:space="preserve">QUOTE &amp; SAVINGS METRICS</t>
  </si>
  <si>
    <t xml:space="preserve">Total RFQs Issued</t>
  </si>
  <si>
    <t xml:space="preserve">Avg Cycle Time (days)</t>
  </si>
  <si>
    <t xml:space="preserve">Total Quotes Received</t>
  </si>
  <si>
    <t xml:space="preserve">Open RFQs</t>
  </si>
  <si>
    <t xml:space="preserve">Min Cycle Time (days)</t>
  </si>
  <si>
    <t xml:space="preserve">Avg Quotes per RFQ</t>
  </si>
  <si>
    <t xml:space="preserve">Closed / Awarded</t>
  </si>
  <si>
    <t xml:space="preserve">Max Cycle Time (days)</t>
  </si>
  <si>
    <t xml:space="preserve">Response Rate</t>
  </si>
  <si>
    <t xml:space="preserve">SLA Compliance Rate</t>
  </si>
  <si>
    <t xml:space="preserve">Total Target Spend ($)</t>
  </si>
  <si>
    <t xml:space="preserve">SLA Breaches (count)</t>
  </si>
  <si>
    <t xml:space="preserve">Total Awarded Spend ($)</t>
  </si>
  <si>
    <t xml:space="preserve">SLA Target (days)</t>
  </si>
  <si>
    <t xml:space="preserve">Total Savings vs Target ($)</t>
  </si>
  <si>
    <t xml:space="preserve">TOP COMMODITY GROUPS</t>
  </si>
  <si>
    <t xml:space="preserve">PORTFOLIO INTELLIGENCE  —  Second-Order Analytics</t>
  </si>
  <si>
    <t xml:space="preserve">Identifies stalling RFQs, supplier miss patterns, over-target spend, and cycle time by commodity.</t>
  </si>
  <si>
    <t xml:space="preserve">STALLING RFQs</t>
  </si>
  <si>
    <t xml:space="preserve">SPEND vs TARGET</t>
  </si>
  <si>
    <t xml:space="preserve">CYCLE TIME BY COMMODITY</t>
  </si>
  <si>
    <t xml:space="preserve">Avg (days)</t>
  </si>
  <si>
    <t xml:space="preserve">Open past SLA target</t>
  </si>
  <si>
    <t xml:space="preserve">Closed RFQs over target price</t>
  </si>
  <si>
    <t xml:space="preserve">Open — 0 quotes received</t>
  </si>
  <si>
    <t xml:space="preserve">Closed RFQs at/under target</t>
  </si>
  <si>
    <t xml:space="preserve">Open — no supplier response</t>
  </si>
  <si>
    <t xml:space="preserve">Over-target rate</t>
  </si>
  <si>
    <t xml:space="preserve">Critical parts currently Open</t>
  </si>
  <si>
    <t xml:space="preserve">Total $ over target</t>
  </si>
  <si>
    <t xml:space="preserve">MONTHLY PIPELINE VIEW  —  RFQ Count by Issue Month</t>
  </si>
  <si>
    <t xml:space="preserve">Counts auto-update from RFQ Tracker. Conditional formatting shows workload intensity — darker = more RFQs.</t>
  </si>
  <si>
    <t xml:space="preserve">METRIC \ MONTH</t>
  </si>
  <si>
    <t xml:space="preserve">Apr
2025</t>
  </si>
  <si>
    <t xml:space="preserve">May
2025</t>
  </si>
  <si>
    <t xml:space="preserve">Jun
2025</t>
  </si>
  <si>
    <t xml:space="preserve">Jul
2025</t>
  </si>
  <si>
    <t xml:space="preserve">Aug
2025</t>
  </si>
  <si>
    <t xml:space="preserve">Sep
2025</t>
  </si>
  <si>
    <t xml:space="preserve">Oct
2025</t>
  </si>
  <si>
    <t xml:space="preserve">Nov
2025</t>
  </si>
  <si>
    <t xml:space="preserve">Dec
2025</t>
  </si>
  <si>
    <t xml:space="preserve">Jan
2026</t>
  </si>
  <si>
    <t xml:space="preserve">Feb
2026</t>
  </si>
  <si>
    <t xml:space="preserve">Mar
2026</t>
  </si>
  <si>
    <t xml:space="preserve">RFQs Issued</t>
  </si>
  <si>
    <t xml:space="preserve">Responses Due</t>
  </si>
  <si>
    <t xml:space="preserve">Awards Made</t>
  </si>
  <si>
    <t xml:space="preserve">Note: Months showing zero reflect periods prior to tracker adoption or months with no RFQ activity. Data populates automatically as RFQs are entered.</t>
  </si>
  <si>
    <t xml:space="preserve">APPROVED SUPPLIER DIRECTORY</t>
  </si>
  <si>
    <t xml:space="preserve">CAGE Code</t>
  </si>
  <si>
    <t xml:space="preserve">Location</t>
  </si>
  <si>
    <t xml:space="preserve">AS9100
Cert?</t>
  </si>
  <si>
    <t xml:space="preserve">Primary Contact</t>
  </si>
  <si>
    <t xml:space="preserve">Contact Email</t>
  </si>
  <si>
    <t xml:space="preserve">Approved?</t>
  </si>
  <si>
    <t xml:space="preserve">5NDB7</t>
  </si>
  <si>
    <t xml:space="preserve">Wichita, KS</t>
  </si>
  <si>
    <t xml:space="preserve">John Smith</t>
  </si>
  <si>
    <t xml:space="preserve">jsmith@vanguardmach.com</t>
  </si>
  <si>
    <t xml:space="preserve">8XYZ2</t>
  </si>
  <si>
    <t xml:space="preserve">Huntington, WV</t>
  </si>
  <si>
    <t xml:space="preserve">Lisa Tran</t>
  </si>
  <si>
    <t xml:space="preserve">ltran@aerocomp.com</t>
  </si>
  <si>
    <t xml:space="preserve">3QRS9</t>
  </si>
  <si>
    <t xml:space="preserve">Burbank, CA</t>
  </si>
  <si>
    <t xml:space="preserve">Mike Jones</t>
  </si>
  <si>
    <t xml:space="preserve">mjones@fastenerwld.com</t>
  </si>
  <si>
    <t xml:space="preserve">1ABC4</t>
  </si>
  <si>
    <t xml:space="preserve">East Aurora, NY</t>
  </si>
  <si>
    <t xml:space="preserve">Rachel Torres</t>
  </si>
  <si>
    <t xml:space="preserve">rtorres@apexact.com</t>
  </si>
  <si>
    <t xml:space="preserve">7DEF1</t>
  </si>
  <si>
    <t xml:space="preserve">Cleveland, OH</t>
  </si>
  <si>
    <t xml:space="preserve">Bob Harmon</t>
  </si>
  <si>
    <t xml:space="preserve">bharmon@precforge.com</t>
  </si>
  <si>
    <t xml:space="preserve">2GHI5</t>
  </si>
  <si>
    <t xml:space="preserve">Seals/Fluid</t>
  </si>
  <si>
    <t xml:space="preserve">Kevin Park</t>
  </si>
  <si>
    <t xml:space="preserve">kpark@deltaseal.com</t>
  </si>
  <si>
    <t xml:space="preserve">9JKL3</t>
  </si>
  <si>
    <t xml:space="preserve">St. Charles, MO</t>
  </si>
  <si>
    <t xml:space="preserve">Mark Lane</t>
  </si>
  <si>
    <t xml:space="preserve">mlane@conduitaero.com</t>
  </si>
  <si>
    <t xml:space="preserve">4MNO8</t>
  </si>
  <si>
    <t xml:space="preserve">Mentor, OH</t>
  </si>
  <si>
    <t xml:space="preserve">Nora Grant</t>
  </si>
  <si>
    <t xml:space="preserve">ngrant@summitcast.com</t>
  </si>
  <si>
    <t xml:space="preserve">6PQR2</t>
  </si>
  <si>
    <t xml:space="preserve">Springfield, MA</t>
  </si>
  <si>
    <t xml:space="preserve">Alex Dunn</t>
  </si>
  <si>
    <t xml:space="preserve">adunn@flexline.com</t>
  </si>
  <si>
    <t xml:space="preserve">0STU7</t>
  </si>
  <si>
    <t xml:space="preserve">Cedar Rapids, IA</t>
  </si>
  <si>
    <t xml:space="preserve">Sam Reeves</t>
  </si>
  <si>
    <t xml:space="preserve">sreeves@northwayav.com</t>
  </si>
  <si>
    <t xml:space="preserve">5VWX1</t>
  </si>
  <si>
    <t xml:space="preserve">Albany, NY</t>
  </si>
  <si>
    <t xml:space="preserve">Tony Voss</t>
  </si>
  <si>
    <t xml:space="preserve">tvoss@pacificalloy.com</t>
  </si>
  <si>
    <t xml:space="preserve">8YZA4</t>
  </si>
  <si>
    <t xml:space="preserve">Longueuil, QC</t>
  </si>
  <si>
    <t xml:space="preserve">Derek Simms</t>
  </si>
  <si>
    <t xml:space="preserve">dsimms@stratoslanding.com</t>
  </si>
  <si>
    <t xml:space="preserve">3BCD6</t>
  </si>
  <si>
    <t xml:space="preserve">Torrance, CA</t>
  </si>
  <si>
    <t xml:space="preserve">Gina Wu</t>
  </si>
  <si>
    <t xml:space="preserve">gwu@aerofastener.com</t>
  </si>
  <si>
    <t xml:space="preserve">7EFG9</t>
  </si>
  <si>
    <t xml:space="preserve">Gothenburg, SE</t>
  </si>
  <si>
    <t xml:space="preserve">Brian Holt</t>
  </si>
  <si>
    <t xml:space="preserve">bholt@atlasbearing.com</t>
  </si>
  <si>
    <t xml:space="preserve">2HIJ5</t>
  </si>
  <si>
    <t xml:space="preserve">Chicago, IL</t>
  </si>
  <si>
    <t xml:space="preserve">Paul Grant</t>
  </si>
  <si>
    <t xml:space="preserve">pgrant@metalsdirect.com</t>
  </si>
  <si>
    <t xml:space="preserve">WORKBOOK SETTINGS  —  Edit values in column C</t>
  </si>
  <si>
    <t xml:space="preserve">SETTING</t>
  </si>
  <si>
    <t xml:space="preserve">VALUE  ← EDIT HERE</t>
  </si>
  <si>
    <t xml:space="preserve">Organization Name</t>
  </si>
  <si>
    <t xml:space="preserve">Your Organization</t>
  </si>
  <si>
    <t xml:space="preserve">Appears on cover and dashboard</t>
  </si>
  <si>
    <t xml:space="preserve">Sourcing Manager Name</t>
  </si>
  <si>
    <t xml:space="preserve">Your Name</t>
  </si>
  <si>
    <t xml:space="preserve">Optional — for tracking ownership</t>
  </si>
  <si>
    <t xml:space="preserve">Fiscal Year Start Month</t>
  </si>
  <si>
    <t xml:space="preserve">10</t>
  </si>
  <si>
    <t xml:space="preserve">Enter month number (e.g. 10 = October for US DoD FY)</t>
  </si>
  <si>
    <t xml:space="preserve">RFQ Cycle Time SLA (days)</t>
  </si>
  <si>
    <t xml:space="preserve">30</t>
  </si>
  <si>
    <t xml:space="preserve">Target max days from issue to award — drives SLA flag</t>
  </si>
  <si>
    <t xml:space="preserve">Overdue Warning (days)</t>
  </si>
  <si>
    <t xml:space="preserve">3</t>
  </si>
  <si>
    <t xml:space="preserve">Days before due date to flag as 'At Risk' (amber)</t>
  </si>
  <si>
    <t xml:space="preserve">Min Quotes Required</t>
  </si>
  <si>
    <t xml:space="preserve">Minimum competitive bids target per RFQ</t>
  </si>
  <si>
    <t xml:space="preserve">Default Currency</t>
  </si>
  <si>
    <t xml:space="preserve">USD</t>
  </si>
  <si>
    <t xml:space="preserve">For display reference only</t>
  </si>
  <si>
    <t xml:space="preserve">Version</t>
  </si>
  <si>
    <t xml:space="preserve">Do not edit</t>
  </si>
  <si>
    <t xml:space="preserve">As-Of Date</t>
  </si>
  <si>
    <t xml:space="preserve">Freeze this date to lock metrics for a snapshot</t>
  </si>
  <si>
    <t xml:space="preserve">Settings in column C are referenced by formulas throughout this workbook. Do not rename this sheet.</t>
  </si>
  <si>
    <t xml:space="preserve">USER GUIDE  —  Aerospace RFQ Tracker v2.0</t>
  </si>
  <si>
    <t xml:space="preserve">  QUICK START</t>
  </si>
  <si>
    <t xml:space="preserve">  1</t>
  </si>
  <si>
    <t xml:space="preserve">Open the Settings sheet  —  Enter your organization name, SLA target (days), and overdue warning window. These values power all formulas.</t>
  </si>
  <si>
    <t xml:space="preserve">  2</t>
  </si>
  <si>
    <t xml:space="preserve">Enter RFQs in RFQ Tracker  —  Fill in one row per RFQ. Required fields: RFQ Number, Part Number, Supplier Contacted, Issue Date, Due Date, Priority, Status.</t>
  </si>
  <si>
    <t xml:space="preserve">  3</t>
  </si>
  <si>
    <t xml:space="preserve">Update status as RFQ progresses  —  Change Status from Open → Closed when awarded. Enter Award Date and Awarded Supplier. Cycle Time auto-calculates.</t>
  </si>
  <si>
    <t xml:space="preserve">  4</t>
  </si>
  <si>
    <t xml:space="preserve">Use Bid Comparison for awards  —  Duplicate the Bid Comparison sheet for each competitive award. Document all quotes received before making a recommendation.</t>
  </si>
  <si>
    <t xml:space="preserve">  5</t>
  </si>
  <si>
    <t xml:space="preserve">Check Analytics &amp; Scorecard  —  Review weekly. The Supplier Scorecard tracks response rates and win rates per supplier automatically.</t>
  </si>
  <si>
    <t xml:space="preserve">  FIELD DEFINITIONS</t>
  </si>
  <si>
    <t xml:space="preserve">  RFQ Number</t>
  </si>
  <si>
    <t xml:space="preserve">Unique identifier. Suggested format: RFQ-YYYY-NNN (e.g., RFQ-2025-001).</t>
  </si>
  <si>
    <t xml:space="preserve">  Priority</t>
  </si>
  <si>
    <t xml:space="preserve">Critical = program-stopper / must-award immediately. High = urgent. Medium = standard. Low = stock/MRO.</t>
  </si>
  <si>
    <t xml:space="preserve">  Sole Source (Y/N)</t>
  </si>
  <si>
    <t xml:space="preserve">Y = single approved supplier (OEM, proprietary, qualified only). Requires written justification per FAR 6.302.</t>
  </si>
  <si>
    <t xml:space="preserve">  SLA Flag</t>
  </si>
  <si>
    <t xml:space="preserve">Auto-calculated. OVERDUE = past due date. AT RISK = within warning window. OK = on track.</t>
  </si>
  <si>
    <t xml:space="preserve">  Cycle Time</t>
  </si>
  <si>
    <t xml:space="preserve">Automatically calculated: Award Date minus Issue Date. Blank until both dates are entered.</t>
  </si>
  <si>
    <t xml:space="preserve">  SLA Met?</t>
  </si>
  <si>
    <t xml:space="preserve">Yes if Cycle Time ≤ SLA Target (set in Settings). No if it exceeded. Used for SLA compliance reporting.</t>
  </si>
  <si>
    <t xml:space="preserve">  Savings vs Target</t>
  </si>
  <si>
    <t xml:space="preserve">Positive = came in under budget. Negative = exceeded target. Formula: Target Price minus Lowest Quote.</t>
  </si>
  <si>
    <t xml:space="preserve">  COLOR CODING</t>
  </si>
  <si>
    <t xml:space="preserve">  Red rows</t>
  </si>
  <si>
    <t xml:space="preserve">OVERDUE: Open RFQ past its response due date. Take immediate action — call supplier, expedite, or escalate.</t>
  </si>
  <si>
    <t xml:space="preserve">  Amber rows</t>
  </si>
  <si>
    <t xml:space="preserve">AT RISK: Due date within warning window (default 3 days, configurable in Settings).</t>
  </si>
  <si>
    <t xml:space="preserve">  Yellow rows</t>
  </si>
  <si>
    <t xml:space="preserve">PENDING: Open RFQ, response not yet received, due date still in the future.</t>
  </si>
  <si>
    <t xml:space="preserve">  Green rows</t>
  </si>
  <si>
    <t xml:space="preserve">CLOSED: RFQ awarded. No further action needed.</t>
  </si>
  <si>
    <t xml:space="preserve">  Grey rows</t>
  </si>
  <si>
    <t xml:space="preserve">CANCELLED: RFQ voided. Retained for audit trail — do not delete.</t>
  </si>
  <si>
    <t xml:space="preserve">  BEST PRACTICES</t>
  </si>
  <si>
    <t xml:space="preserve">  Minimum 3 quotes</t>
  </si>
  <si>
    <t xml:space="preserve">Set Settings!C10 to your organization's minimum. Dashboard tracks RFQs that fell short.</t>
  </si>
  <si>
    <t xml:space="preserve">  Sole source control</t>
  </si>
  <si>
    <t xml:space="preserve">Every Y in the Sole Source column should have a corresponding written justification on file (FAR 6.302, DFARS 206).</t>
  </si>
  <si>
    <t xml:space="preserve">  Notes column</t>
  </si>
  <si>
    <t xml:space="preserve">Use the Notes column for sourcing rationale, issues, or actions. This supports audit readiness.</t>
  </si>
  <si>
    <t xml:space="preserve">  Bid Comparison</t>
  </si>
  <si>
    <t xml:space="preserve">Duplicate the Bid Comparison sheet for every competitive award. A complete bid tab is your source selection documentation.</t>
  </si>
  <si>
    <t xml:space="preserve">  Do not delete rows</t>
  </si>
  <si>
    <t xml:space="preserve">Mark cancelled RFQs as 'Cancelled' rather than deleting. Preserved rows maintain the audit trail.</t>
  </si>
  <si>
    <t xml:space="preserve">  LIMITATIONS</t>
  </si>
  <si>
    <t xml:space="preserve">  No ERP integration</t>
  </si>
  <si>
    <t xml:space="preserve">This tool is standalone. Data must be entered manually. It does not sync with SAP, Oracle, Costpoint, or other MRP/ERP systems.</t>
  </si>
  <si>
    <t xml:space="preserve">  No macro / VBA</t>
  </si>
  <si>
    <t xml:space="preserve">This workbook uses only Excel formulas and conditional formatting. No VBA. Compatible with Excel 2016+ and Microsoft 365.</t>
  </si>
  <si>
    <t xml:space="preserve">  Row capacity</t>
  </si>
  <si>
    <t xml:space="preserve">RFQ Tracker supports up to 300 RFQ rows. Archive completed RFQs to a separate file if nearing capacity.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</si>
</sst>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General"/>
    <numFmt numFmtId="166" formatCode="0\d"/>
    <numFmt numFmtId="167" formatCode="\$#,##0"/>
    <numFmt numFmtId="168" formatCode="0%"/>
    <numFmt numFmtId="169" formatCode="0"/>
    <numFmt numFmtId="170" formatCode="0.0%"/>
    <numFmt numFmtId="171" formatCode="mm/dd/yyyy"/>
    <numFmt numFmtId="172" formatCode="@"/>
    <numFmt numFmtId="173" formatCode="0.0"/>
  </numFmts>
  <fonts count="68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42"/>
      <color rgb="FF4A90D9"/>
      <name val="Arial"/>
      <family val="0"/>
      <charset val="1"/>
    </font>
    <font>
      <b val="true"/>
      <sz val="32"/>
      <color rgb="FFFFFFFF"/>
      <name val="Arial"/>
      <family val="0"/>
      <charset val="1"/>
    </font>
    <font>
      <i val="true"/>
      <sz val="13"/>
      <color rgb="FF4A90D9"/>
      <name val="Arial"/>
      <family val="0"/>
      <charset val="1"/>
    </font>
    <font>
      <b val="true"/>
      <sz val="10"/>
      <color rgb="FF4A90D9"/>
      <name val="Arial"/>
      <family val="0"/>
      <charset val="1"/>
    </font>
    <font>
      <sz val="10"/>
      <color rgb="FFFFFFFF"/>
      <name val="Arial"/>
      <family val="0"/>
      <charset val="1"/>
    </font>
    <font>
      <b val="true"/>
      <sz val="11"/>
      <color rgb="FF4A90D9"/>
      <name val="Arial"/>
      <family val="0"/>
      <charset val="1"/>
    </font>
    <font>
      <b val="true"/>
      <sz val="10"/>
      <color rgb="FFC94A1E"/>
      <name val="Arial"/>
      <family val="0"/>
      <charset val="1"/>
    </font>
    <font>
      <sz val="10"/>
      <color rgb="FF6B6B6B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sz val="10"/>
      <color rgb="FFA9CCE3"/>
      <name val="Arial"/>
      <family val="0"/>
      <charset val="1"/>
    </font>
    <font>
      <i val="true"/>
      <sz val="8"/>
      <color rgb="FF2E6DA4"/>
      <name val="Arial"/>
      <family val="0"/>
      <charset val="1"/>
    </font>
    <font>
      <b val="true"/>
      <sz val="16"/>
      <color rgb="FF1A1A1A"/>
      <name val="Arial"/>
      <family val="0"/>
      <charset val="1"/>
    </font>
    <font>
      <sz val="9"/>
      <color rgb="FF6B6B6B"/>
      <name val="Arial"/>
      <family val="0"/>
      <charset val="1"/>
    </font>
    <font>
      <b val="true"/>
      <sz val="8"/>
      <color rgb="FFC94A1E"/>
      <name val="Arial"/>
      <family val="0"/>
      <charset val="1"/>
    </font>
    <font>
      <b val="true"/>
      <sz val="8"/>
      <color rgb="FF6B6B6B"/>
      <name val="Arial"/>
      <family val="0"/>
      <charset val="1"/>
    </font>
    <font>
      <b val="true"/>
      <sz val="20"/>
      <color rgb="FF1A1A1A"/>
      <name val="Arial"/>
      <family val="0"/>
      <charset val="1"/>
    </font>
    <font>
      <b val="true"/>
      <sz val="20"/>
      <color rgb="FFC94A1E"/>
      <name val="Arial"/>
      <family val="0"/>
      <charset val="1"/>
    </font>
    <font>
      <b val="true"/>
      <sz val="20"/>
      <color rgb="FF2D7A4E"/>
      <name val="Arial"/>
      <family val="0"/>
      <charset val="1"/>
    </font>
    <font>
      <b val="true"/>
      <sz val="8"/>
      <color rgb="FFFFFFFF"/>
      <name val="Arial"/>
      <family val="0"/>
      <charset val="1"/>
    </font>
    <font>
      <b val="true"/>
      <sz val="14"/>
      <color rgb="FFC94A1E"/>
      <name val="Arial"/>
      <family val="0"/>
      <charset val="1"/>
    </font>
    <font>
      <b val="true"/>
      <sz val="14"/>
      <color rgb="FFE8622A"/>
      <name val="Arial"/>
      <family val="0"/>
      <charset val="1"/>
    </font>
    <font>
      <b val="true"/>
      <sz val="14"/>
      <color rgb="FFC4A227"/>
      <name val="Arial"/>
      <family val="0"/>
      <charset val="1"/>
    </font>
    <font>
      <b val="true"/>
      <sz val="14"/>
      <color rgb="FF6B7A8D"/>
      <name val="Arial"/>
      <family val="0"/>
      <charset val="1"/>
    </font>
    <font>
      <b val="true"/>
      <sz val="14"/>
      <color rgb="FF2D7A4E"/>
      <name val="Arial"/>
      <family val="0"/>
      <charset val="1"/>
    </font>
    <font>
      <b val="true"/>
      <sz val="9"/>
      <color rgb="FFFFFFFF"/>
      <name val="Arial"/>
      <family val="0"/>
      <charset val="1"/>
    </font>
    <font>
      <i val="true"/>
      <sz val="9"/>
      <color rgb="FF6B6B6B"/>
      <name val="Arial"/>
      <family val="0"/>
      <charset val="1"/>
    </font>
    <font>
      <sz val="9"/>
      <color rgb="FF2A2A2A"/>
      <name val="Arial"/>
      <family val="0"/>
      <charset val="1"/>
    </font>
    <font>
      <b val="true"/>
      <sz val="9"/>
      <color rgb="FF1A1A1A"/>
      <name val="Arial"/>
      <family val="0"/>
      <charset val="1"/>
    </font>
    <font>
      <sz val="9"/>
      <color rgb="FF1A1A1A"/>
      <name val="Arial"/>
      <family val="0"/>
      <charset val="1"/>
    </font>
    <font>
      <i val="true"/>
      <sz val="8"/>
      <color rgb="FF6B6B6B"/>
      <name val="Arial"/>
      <family val="0"/>
      <charset val="1"/>
    </font>
    <font>
      <b val="true"/>
      <sz val="20"/>
      <color rgb="FFFFFFFF"/>
      <name val="Arial"/>
      <family val="0"/>
      <charset val="1"/>
    </font>
    <font>
      <b val="true"/>
      <sz val="16"/>
      <color rgb="FF0D1F3C"/>
      <name val="Arial"/>
      <family val="0"/>
      <charset val="1"/>
    </font>
    <font>
      <b val="true"/>
      <sz val="16"/>
      <color rgb="FFC0392B"/>
      <name val="Arial"/>
      <family val="0"/>
      <charset val="1"/>
    </font>
    <font>
      <b val="true"/>
      <sz val="16"/>
      <color rgb="FFD68910"/>
      <name val="Arial"/>
      <family val="0"/>
      <charset val="1"/>
    </font>
    <font>
      <b val="true"/>
      <sz val="16"/>
      <color rgb="FF1E8449"/>
      <name val="Arial"/>
      <family val="0"/>
      <charset val="1"/>
    </font>
    <font>
      <b val="true"/>
      <sz val="16"/>
      <color rgb="FF6C3483"/>
      <name val="Arial"/>
      <family val="0"/>
      <charset val="1"/>
    </font>
    <font>
      <b val="true"/>
      <sz val="16"/>
      <color rgb="FF707B7C"/>
      <name val="Arial"/>
      <family val="0"/>
      <charset val="1"/>
    </font>
    <font>
      <b val="true"/>
      <sz val="16"/>
      <color rgb="FFE74C3C"/>
      <name val="Arial"/>
      <family val="0"/>
      <charset val="1"/>
    </font>
    <font>
      <b val="true"/>
      <sz val="16"/>
      <color rgb="FFE67E22"/>
      <name val="Arial"/>
      <family val="0"/>
      <charset val="1"/>
    </font>
    <font>
      <b val="true"/>
      <sz val="16"/>
      <color rgb="FF2980B9"/>
      <name val="Arial"/>
      <family val="0"/>
      <charset val="1"/>
    </font>
    <font>
      <b val="true"/>
      <sz val="16"/>
      <color rgb="FF27AE60"/>
      <name val="Arial"/>
      <family val="0"/>
      <charset val="1"/>
    </font>
    <font>
      <b val="true"/>
      <sz val="11"/>
      <color rgb="FFFFFFFF"/>
      <name val="Calibri"/>
      <family val="0"/>
      <charset val="1"/>
    </font>
    <font>
      <sz val="9"/>
      <color rgb="FF000000"/>
      <name val="Arial"/>
      <family val="0"/>
      <charset val="1"/>
    </font>
    <font>
      <sz val="9"/>
      <color rgb="FFC0392B"/>
      <name val="Arial"/>
      <family val="0"/>
      <charset val="1"/>
    </font>
    <font>
      <sz val="9"/>
      <color rgb="FFD68910"/>
      <name val="Arial"/>
      <family val="0"/>
      <charset val="1"/>
    </font>
    <font>
      <sz val="9"/>
      <color rgb="FF1E8449"/>
      <name val="Arial"/>
      <family val="0"/>
      <charset val="1"/>
    </font>
    <font>
      <sz val="9"/>
      <color rgb="FF707B7C"/>
      <name val="Arial"/>
      <family val="0"/>
      <charset val="1"/>
    </font>
    <font>
      <b val="true"/>
      <sz val="14"/>
      <color rgb="FFFFFFFF"/>
      <name val="Arial"/>
      <family val="0"/>
      <charset val="1"/>
    </font>
    <font>
      <i val="true"/>
      <sz val="9"/>
      <color rgb="FFD68910"/>
      <name val="Arial"/>
      <family val="0"/>
      <charset val="1"/>
    </font>
    <font>
      <b val="true"/>
      <sz val="10"/>
      <color rgb="FF0D1F3C"/>
      <name val="Arial"/>
      <family val="0"/>
      <charset val="1"/>
    </font>
    <font>
      <b val="true"/>
      <sz val="10"/>
      <color rgb="FF2E6DA4"/>
      <name val="Arial"/>
      <family val="0"/>
      <charset val="1"/>
    </font>
    <font>
      <b val="true"/>
      <sz val="9"/>
      <color rgb="FF0D1F3C"/>
      <name val="Arial"/>
      <family val="0"/>
      <charset val="1"/>
    </font>
    <font>
      <b val="true"/>
      <sz val="9"/>
      <color rgb="FFC0392B"/>
      <name val="Arial"/>
      <family val="0"/>
      <charset val="1"/>
    </font>
    <font>
      <b val="true"/>
      <sz val="9"/>
      <color rgb="FF1E8449"/>
      <name val="Arial"/>
      <family val="0"/>
      <charset val="1"/>
    </font>
    <font>
      <sz val="10"/>
      <color rgb="FF0D1F3C"/>
      <name val="Arial"/>
      <family val="0"/>
      <charset val="1"/>
    </font>
    <font>
      <sz val="9"/>
      <color rgb="FF0D1F3C"/>
      <name val="Arial"/>
      <family val="0"/>
      <charset val="1"/>
    </font>
    <font>
      <b val="true"/>
      <sz val="9"/>
      <color rgb="FF2E6DA4"/>
      <name val="Arial"/>
      <family val="0"/>
      <charset val="1"/>
    </font>
    <font>
      <b val="true"/>
      <sz val="12"/>
      <color rgb="FFFFFFFF"/>
      <name val="Calibri"/>
      <family val="0"/>
      <charset val="1"/>
    </font>
    <font>
      <i val="true"/>
      <sz val="9"/>
      <color rgb="FF666666"/>
      <name val="Calibri"/>
      <family val="0"/>
      <charset val="1"/>
    </font>
    <font>
      <sz val="10"/>
      <name val="Calibri"/>
      <family val="0"/>
      <charset val="1"/>
    </font>
    <font>
      <b val="true"/>
      <sz val="11"/>
      <color rgb="FF1F3864"/>
      <name val="Calibri"/>
      <family val="0"/>
      <charset val="1"/>
    </font>
    <font>
      <i val="true"/>
      <sz val="9"/>
      <color rgb="FF707B7C"/>
      <name val="Arial"/>
      <family val="0"/>
      <charset val="1"/>
    </font>
    <font>
      <b val="true"/>
      <sz val="13"/>
      <color rgb="FFFFFFFF"/>
      <name val="Arial"/>
      <family val="0"/>
      <charset val="1"/>
    </font>
    <font>
      <sz val="9"/>
      <color rgb="FF333333"/>
      <name val="Arial"/>
      <family val="0"/>
      <charset val="1"/>
    </font>
  </fonts>
  <fills count="41">
    <fill>
      <patternFill patternType="none"/>
    </fill>
    <fill>
      <patternFill patternType="gray125"/>
    </fill>
    <fill>
      <patternFill patternType="solid">
        <fgColor rgb="FF0D1F3C"/>
        <bgColor rgb="FF1A1A1A"/>
      </patternFill>
    </fill>
    <fill>
      <patternFill patternType="solid">
        <fgColor rgb="FF4A90D9"/>
        <bgColor rgb="FF2980B9"/>
      </patternFill>
    </fill>
    <fill>
      <patternFill patternType="solid">
        <fgColor rgb="FF2E6DA4"/>
        <bgColor rgb="FF2980B9"/>
      </patternFill>
    </fill>
    <fill>
      <patternFill patternType="solid">
        <fgColor rgb="FFF5F4F0"/>
        <bgColor rgb="FFF0F4F8"/>
      </patternFill>
    </fill>
    <fill>
      <patternFill patternType="solid">
        <fgColor rgb="FFFFFFFF"/>
        <bgColor rgb="FFF8FAFD"/>
      </patternFill>
    </fill>
    <fill>
      <patternFill patternType="solid">
        <fgColor rgb="FFC94A1E"/>
        <bgColor rgb="FFC0392B"/>
      </patternFill>
    </fill>
    <fill>
      <patternFill patternType="solid">
        <fgColor rgb="FFE8622A"/>
        <bgColor rgb="FFE74C3C"/>
      </patternFill>
    </fill>
    <fill>
      <patternFill patternType="solid">
        <fgColor rgb="FFC4A227"/>
        <bgColor rgb="FFD68910"/>
      </patternFill>
    </fill>
    <fill>
      <patternFill patternType="solid">
        <fgColor rgb="FF6B7A8D"/>
        <bgColor rgb="FF707B7C"/>
      </patternFill>
    </fill>
    <fill>
      <patternFill patternType="solid">
        <fgColor rgb="FF2D7A4E"/>
        <bgColor rgb="FF1E8449"/>
      </patternFill>
    </fill>
    <fill>
      <patternFill patternType="solid">
        <fgColor rgb="FF1A1A1A"/>
        <bgColor rgb="FF0D1F3C"/>
      </patternFill>
    </fill>
    <fill>
      <patternFill patternType="solid">
        <fgColor rgb="FFF9F8F5"/>
        <bgColor rgb="FFF8FAFD"/>
      </patternFill>
    </fill>
    <fill>
      <patternFill patternType="solid">
        <fgColor rgb="FF922B21"/>
        <bgColor rgb="FF7B241C"/>
      </patternFill>
    </fill>
    <fill>
      <patternFill patternType="solid">
        <fgColor rgb="FFD68910"/>
        <bgColor rgb="FFE67E22"/>
      </patternFill>
    </fill>
    <fill>
      <patternFill patternType="solid">
        <fgColor rgb="FF1A5276"/>
        <bgColor rgb="FF1A3A6B"/>
      </patternFill>
    </fill>
    <fill>
      <patternFill patternType="solid">
        <fgColor rgb="FF1E8449"/>
        <bgColor rgb="FF2D7A4E"/>
      </patternFill>
    </fill>
    <fill>
      <patternFill patternType="solid">
        <fgColor rgb="FF6C3483"/>
        <bgColor rgb="FF8E44AD"/>
      </patternFill>
    </fill>
    <fill>
      <patternFill patternType="solid">
        <fgColor rgb="FF707B7C"/>
        <bgColor rgb="FF6B7A8D"/>
      </patternFill>
    </fill>
    <fill>
      <patternFill patternType="solid">
        <fgColor rgb="FFEBF4FC"/>
        <bgColor rgb="FFEBF5FB"/>
      </patternFill>
    </fill>
    <fill>
      <patternFill patternType="solid">
        <fgColor rgb="FFFADBD8"/>
        <bgColor rgb="FFFFEBEE"/>
      </patternFill>
    </fill>
    <fill>
      <patternFill patternType="solid">
        <fgColor rgb="FFF9E79F"/>
        <bgColor rgb="FFFADBD8"/>
      </patternFill>
    </fill>
    <fill>
      <patternFill patternType="solid">
        <fgColor rgb="FFD6E8F7"/>
        <bgColor rgb="FFEDE7F6"/>
      </patternFill>
    </fill>
    <fill>
      <patternFill patternType="solid">
        <fgColor rgb="FFE9F7EF"/>
        <bgColor rgb="FFEAFAF1"/>
      </patternFill>
    </fill>
    <fill>
      <patternFill patternType="solid">
        <fgColor rgb="FFEDE7F6"/>
        <bgColor rgb="FFECF0F1"/>
      </patternFill>
    </fill>
    <fill>
      <patternFill patternType="solid">
        <fgColor rgb="FFECF0F1"/>
        <bgColor rgb="FFF0F4F8"/>
      </patternFill>
    </fill>
    <fill>
      <patternFill patternType="solid">
        <fgColor rgb="FFE74C3C"/>
        <bgColor rgb="FFE8622A"/>
      </patternFill>
    </fill>
    <fill>
      <patternFill patternType="solid">
        <fgColor rgb="FFE67E22"/>
        <bgColor rgb="FFD68910"/>
      </patternFill>
    </fill>
    <fill>
      <patternFill patternType="solid">
        <fgColor rgb="FF2980B9"/>
        <bgColor rgb="FF2E6DA4"/>
      </patternFill>
    </fill>
    <fill>
      <patternFill patternType="solid">
        <fgColor rgb="FF27AE60"/>
        <bgColor rgb="FF16A085"/>
      </patternFill>
    </fill>
    <fill>
      <patternFill patternType="solid">
        <fgColor rgb="FFC0392B"/>
        <bgColor rgb="FFC94A1E"/>
      </patternFill>
    </fill>
    <fill>
      <patternFill patternType="solid">
        <fgColor rgb="FFFDEDEC"/>
        <bgColor rgb="FFFFEBEE"/>
      </patternFill>
    </fill>
    <fill>
      <patternFill patternType="solid">
        <fgColor rgb="FFFEF0E7"/>
        <bgColor rgb="FFFDEDEC"/>
      </patternFill>
    </fill>
    <fill>
      <patternFill patternType="solid">
        <fgColor rgb="FFEBF5FB"/>
        <bgColor rgb="FFEBF4FC"/>
      </patternFill>
    </fill>
    <fill>
      <patternFill patternType="solid">
        <fgColor rgb="FFEAFAF1"/>
        <bgColor rgb="FFE9F7EF"/>
      </patternFill>
    </fill>
    <fill>
      <patternFill patternType="solid">
        <fgColor rgb="FF1F3864"/>
        <bgColor rgb="FF1A3A6B"/>
      </patternFill>
    </fill>
    <fill>
      <patternFill patternType="solid">
        <fgColor rgb="FFF0F4F8"/>
        <bgColor rgb="FFEBF5FB"/>
      </patternFill>
    </fill>
    <fill>
      <patternFill patternType="solid">
        <fgColor rgb="FFFEF9E7"/>
        <bgColor rgb="FFF9F8F5"/>
      </patternFill>
    </fill>
    <fill>
      <patternFill patternType="solid">
        <fgColor rgb="FF1A3A6B"/>
        <bgColor rgb="FF1F3864"/>
      </patternFill>
    </fill>
    <fill>
      <patternFill patternType="solid">
        <fgColor rgb="FFF8FAFD"/>
        <bgColor rgb="FFF9F8F5"/>
      </patternFill>
    </fill>
  </fills>
  <borders count="5">
    <border diagonalUp="false" diagonalDown="false">
      <left/>
      <right/>
      <top/>
      <bottom/>
      <diagonal/>
    </border>
    <border diagonalUp="false" diagonalDown="false">
      <left/>
      <right/>
      <top/>
      <bottom style="thin">
        <color rgb="FFD0CFC9"/>
      </bottom>
      <diagonal/>
    </border>
    <border diagonalUp="false" diagonalDown="false">
      <left style="thin">
        <color rgb="FFB8C8D8"/>
      </left>
      <right/>
      <top style="thin">
        <color rgb="FFB8C8D8"/>
      </top>
      <bottom style="thin">
        <color rgb="FFB8C8D8"/>
      </bottom>
      <diagonal/>
    </border>
    <border diagonalUp="false" diagonalDown="false">
      <left style="thin">
        <color rgb="FFB8C8D8"/>
      </left>
      <right style="thin">
        <color rgb="FFB8C8D8"/>
      </right>
      <top style="thin">
        <color rgb="FFB8C8D8"/>
      </top>
      <bottom style="thin">
        <color rgb="FFB8C8D8"/>
      </bottom>
      <diagonal/>
    </border>
    <border diagonalUp="false" diagonalDown="false">
      <left style="thin">
        <color rgb="FFB8C8D8"/>
      </left>
      <right/>
      <top style="thin">
        <color rgb="FFB8C8D8"/>
      </top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9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4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8" fillId="2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9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2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1" fillId="2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2" fillId="2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3" fillId="2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2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3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5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5" fillId="5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5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7" fillId="5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8" fillId="6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9" fillId="6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20" fillId="6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19" fillId="6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21" fillId="6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19" fillId="6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2" fillId="7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2" fillId="8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2" fillId="9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2" fillId="1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2" fillId="11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23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24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25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26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27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8" fillId="1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9" fillId="5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30" fillId="13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30" fillId="5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7" fillId="13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31" fillId="6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32" fillId="6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31" fillId="5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32" fillId="5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32" fillId="5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32" fillId="6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0" fontId="32" fillId="5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8" fillId="1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9" fontId="32" fillId="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32" fillId="1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3" fillId="5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3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8" fillId="4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8" fillId="14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8" fillId="15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8" fillId="16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8" fillId="17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8" fillId="18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8" fillId="19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35" fillId="2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36" fillId="21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37" fillId="2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5" fillId="23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8" fillId="24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39" fillId="25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0" fillId="26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8" fillId="27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8" fillId="28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8" fillId="29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8" fillId="3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8" fillId="31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41" fillId="3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42" fillId="33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43" fillId="34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44" fillId="35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36" fillId="21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8" fillId="4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5" fillId="36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5" fontId="46" fillId="37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6" fillId="37" borderId="3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46" fillId="37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46" fillId="37" borderId="3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7" fontId="46" fillId="37" borderId="3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70" fontId="46" fillId="37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6" fillId="37" borderId="3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6" fillId="6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6" fillId="6" borderId="3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46" fillId="6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46" fillId="6" borderId="3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7" fontId="46" fillId="6" borderId="3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70" fontId="46" fillId="6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6" fillId="6" borderId="3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28" fillId="4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7" fillId="21" borderId="2" xfId="0" applyFont="true" applyBorder="true" applyAlignment="true" applyProtection="false">
      <alignment horizontal="left" vertical="center" textRotation="0" wrapText="false" indent="2" shrinkToFit="false"/>
      <protection locked="true" hidden="false"/>
    </xf>
    <xf numFmtId="164" fontId="48" fillId="22" borderId="2" xfId="0" applyFont="true" applyBorder="true" applyAlignment="true" applyProtection="false">
      <alignment horizontal="left" vertical="center" textRotation="0" wrapText="false" indent="2" shrinkToFit="false"/>
      <protection locked="true" hidden="false"/>
    </xf>
    <xf numFmtId="164" fontId="48" fillId="38" borderId="2" xfId="0" applyFont="true" applyBorder="true" applyAlignment="true" applyProtection="false">
      <alignment horizontal="left" vertical="center" textRotation="0" wrapText="false" indent="2" shrinkToFit="false"/>
      <protection locked="true" hidden="false"/>
    </xf>
    <xf numFmtId="164" fontId="49" fillId="24" borderId="2" xfId="0" applyFont="true" applyBorder="true" applyAlignment="true" applyProtection="false">
      <alignment horizontal="left" vertical="center" textRotation="0" wrapText="false" indent="2" shrinkToFit="false"/>
      <protection locked="true" hidden="false"/>
    </xf>
    <xf numFmtId="164" fontId="50" fillId="26" borderId="2" xfId="0" applyFont="true" applyBorder="true" applyAlignment="true" applyProtection="false">
      <alignment horizontal="left" vertical="center" textRotation="0" wrapText="false" indent="2" shrinkToFit="false"/>
      <protection locked="true" hidden="false"/>
    </xf>
    <xf numFmtId="164" fontId="51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2" fillId="38" borderId="2" xfId="0" applyFont="true" applyBorder="true" applyAlignment="true" applyProtection="false">
      <alignment horizontal="left" vertical="center" textRotation="0" wrapText="false" indent="2" shrinkToFit="false"/>
      <protection locked="true" hidden="false"/>
    </xf>
    <xf numFmtId="164" fontId="53" fillId="20" borderId="3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54" fillId="20" borderId="3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7" fontId="54" fillId="20" borderId="3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71" fontId="54" fillId="20" borderId="3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2" fillId="4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39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3" fillId="23" borderId="2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54" fillId="23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5" fillId="20" borderId="2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7" fontId="46" fillId="2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6" fillId="2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20" borderId="3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5" fillId="6" borderId="2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0" fillId="6" borderId="3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5" fillId="21" borderId="2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7" fontId="56" fillId="21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56" fillId="21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5" fillId="24" borderId="2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57" fillId="24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4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8" fillId="24" borderId="4" xfId="0" applyFont="true" applyBorder="true" applyAlignment="true" applyProtection="false">
      <alignment horizontal="left" vertical="top" textRotation="0" wrapText="true" indent="1" shrinkToFit="false"/>
      <protection locked="true" hidden="false"/>
    </xf>
    <xf numFmtId="168" fontId="46" fillId="37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46" fillId="37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2" fontId="57" fillId="37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46" fillId="6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46" fillId="6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2" fontId="57" fillId="6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39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18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5" fillId="20" borderId="3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9" fontId="54" fillId="20" borderId="3" xfId="0" applyFont="true" applyBorder="true" applyAlignment="true" applyProtection="false">
      <alignment horizontal="center" vertical="center" textRotation="0" wrapText="false" indent="1" shrinkToFit="false"/>
      <protection locked="true" hidden="false"/>
    </xf>
    <xf numFmtId="173" fontId="54" fillId="20" borderId="3" xfId="0" applyFont="true" applyBorder="true" applyAlignment="true" applyProtection="false">
      <alignment horizontal="center" vertical="center" textRotation="0" wrapText="false" indent="1" shrinkToFit="false"/>
      <protection locked="true" hidden="false"/>
    </xf>
    <xf numFmtId="164" fontId="55" fillId="6" borderId="3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9" fontId="54" fillId="6" borderId="3" xfId="0" applyFont="true" applyBorder="true" applyAlignment="true" applyProtection="false">
      <alignment horizontal="center" vertical="center" textRotation="0" wrapText="false" indent="1" shrinkToFit="false"/>
      <protection locked="true" hidden="false"/>
    </xf>
    <xf numFmtId="173" fontId="54" fillId="6" borderId="3" xfId="0" applyFont="true" applyBorder="true" applyAlignment="true" applyProtection="false">
      <alignment horizontal="center" vertical="center" textRotation="0" wrapText="false" indent="1" shrinkToFit="false"/>
      <protection locked="true" hidden="false"/>
    </xf>
    <xf numFmtId="168" fontId="54" fillId="20" borderId="3" xfId="0" applyFont="true" applyBorder="true" applyAlignment="true" applyProtection="false">
      <alignment horizontal="center" vertical="center" textRotation="0" wrapText="false" indent="1" shrinkToFit="false"/>
      <protection locked="true" hidden="false"/>
    </xf>
    <xf numFmtId="168" fontId="54" fillId="6" borderId="3" xfId="0" applyFont="true" applyBorder="true" applyAlignment="true" applyProtection="false">
      <alignment horizontal="center" vertical="center" textRotation="0" wrapText="false" indent="1" shrinkToFit="false"/>
      <protection locked="true" hidden="false"/>
    </xf>
    <xf numFmtId="167" fontId="54" fillId="6" borderId="3" xfId="0" applyFont="true" applyBorder="true" applyAlignment="true" applyProtection="false">
      <alignment horizontal="center" vertical="center" textRotation="0" wrapText="false" indent="1" shrinkToFit="false"/>
      <protection locked="true" hidden="false"/>
    </xf>
    <xf numFmtId="167" fontId="54" fillId="20" borderId="3" xfId="0" applyFont="true" applyBorder="true" applyAlignment="true" applyProtection="false">
      <alignment horizontal="center" vertical="center" textRotation="0" wrapText="false" indent="1" shrinkToFit="false"/>
      <protection locked="true" hidden="false"/>
    </xf>
    <xf numFmtId="164" fontId="12" fillId="27" borderId="3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5" fontId="12" fillId="27" borderId="3" xfId="0" applyFont="true" applyBorder="true" applyAlignment="true" applyProtection="false">
      <alignment horizontal="center" vertical="center" textRotation="0" wrapText="false" indent="1" shrinkToFit="false"/>
      <protection locked="true" hidden="false"/>
    </xf>
    <xf numFmtId="164" fontId="59" fillId="20" borderId="3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5" fontId="60" fillId="20" borderId="3" xfId="0" applyFont="true" applyBorder="true" applyAlignment="true" applyProtection="false">
      <alignment horizontal="center" vertical="center" textRotation="0" wrapText="false" indent="1" shrinkToFit="false"/>
      <protection locked="true" hidden="false"/>
    </xf>
    <xf numFmtId="164" fontId="12" fillId="28" borderId="3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5" fontId="12" fillId="28" borderId="3" xfId="0" applyFont="true" applyBorder="true" applyAlignment="true" applyProtection="false">
      <alignment horizontal="center" vertical="center" textRotation="0" wrapText="false" indent="1" shrinkToFit="false"/>
      <protection locked="true" hidden="false"/>
    </xf>
    <xf numFmtId="164" fontId="59" fillId="6" borderId="3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5" fontId="60" fillId="6" borderId="3" xfId="0" applyFont="true" applyBorder="true" applyAlignment="true" applyProtection="false">
      <alignment horizontal="center" vertical="center" textRotation="0" wrapText="false" indent="1" shrinkToFit="false"/>
      <protection locked="true" hidden="false"/>
    </xf>
    <xf numFmtId="164" fontId="12" fillId="29" borderId="3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5" fontId="12" fillId="29" borderId="3" xfId="0" applyFont="true" applyBorder="true" applyAlignment="true" applyProtection="false">
      <alignment horizontal="center" vertical="center" textRotation="0" wrapText="false" indent="1" shrinkToFit="false"/>
      <protection locked="true" hidden="false"/>
    </xf>
    <xf numFmtId="164" fontId="12" fillId="30" borderId="3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5" fontId="12" fillId="30" borderId="3" xfId="0" applyFont="true" applyBorder="true" applyAlignment="true" applyProtection="false">
      <alignment horizontal="center" vertical="center" textRotation="0" wrapText="false" indent="1" shrinkToFit="false"/>
      <protection locked="true" hidden="false"/>
    </xf>
    <xf numFmtId="164" fontId="61" fillId="36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2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5" fillId="39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5" fillId="39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45" fillId="4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63" fillId="2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9" fontId="64" fillId="2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73" fontId="64" fillId="2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63" fillId="6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9" fontId="64" fillId="6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73" fontId="64" fillId="6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70" fontId="64" fillId="2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7" fontId="64" fillId="6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28" fillId="4" borderId="3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22" fillId="4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2" fillId="39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53" fillId="2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53" fillId="6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5" fillId="40" borderId="2" xfId="0" applyFont="true" applyBorder="true" applyAlignment="true" applyProtection="false">
      <alignment horizontal="left" vertical="center" textRotation="0" wrapText="false" indent="2" shrinkToFit="false"/>
      <protection locked="true" hidden="false"/>
    </xf>
    <xf numFmtId="164" fontId="59" fillId="37" borderId="3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59" fillId="37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9" fillId="37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9" fillId="6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9" fillId="6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6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4" fillId="2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5" fillId="20" borderId="3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53" fillId="6" borderId="3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54" fillId="6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5" fillId="6" borderId="3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63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2" fillId="38" borderId="2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2" fillId="4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5" fillId="6" borderId="3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67" fillId="6" borderId="3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55" fillId="20" borderId="3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67" fillId="20" borderId="3" xfId="0" applyFont="true" applyBorder="true" applyAlignment="true" applyProtection="false">
      <alignment horizontal="left" vertical="center" textRotation="0" wrapText="true" indent="1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3">
    <dxf>
      <fill>
        <patternFill patternType="solid">
          <fgColor rgb="FF2E6DA4"/>
          <bgColor rgb="FF000000"/>
        </patternFill>
      </fill>
    </dxf>
    <dxf>
      <fill>
        <patternFill patternType="solid">
          <fgColor rgb="FFE9F7EF"/>
          <bgColor rgb="FF000000"/>
        </patternFill>
      </fill>
    </dxf>
    <dxf>
      <fill>
        <patternFill patternType="solid">
          <fgColor rgb="FFECF0F1"/>
          <bgColor rgb="FF000000"/>
        </patternFill>
      </fill>
    </dxf>
    <dxf>
      <fill>
        <patternFill patternType="solid">
          <fgColor rgb="FFF0F4F8"/>
          <bgColor rgb="FF000000"/>
        </patternFill>
      </fill>
    </dxf>
    <dxf>
      <fill>
        <patternFill patternType="solid">
          <fgColor rgb="FFFADBD8"/>
          <bgColor rgb="FF000000"/>
        </patternFill>
      </fill>
    </dxf>
    <dxf>
      <fill>
        <patternFill patternType="solid">
          <fgColor rgb="FFFEF9E7"/>
          <bgColor rgb="FF000000"/>
        </patternFill>
      </fill>
    </dxf>
    <dxf>
      <fill>
        <patternFill patternType="solid">
          <fgColor rgb="FFFFEBEE"/>
          <bgColor rgb="FF000000"/>
        </patternFill>
      </fill>
    </dxf>
    <dxf>
      <fill>
        <patternFill patternType="solid">
          <fgColor rgb="FFFFFFFF"/>
          <bgColor rgb="FF000000"/>
        </patternFill>
      </fill>
    </dxf>
    <dxf>
      <fill>
        <patternFill patternType="solid">
          <fgColor rgb="FF000000"/>
          <bgColor rgb="FF000000"/>
        </patternFill>
      </fill>
    </dxf>
    <dxf>
      <fill>
        <patternFill patternType="solid">
          <fgColor rgb="FF1E8449"/>
          <bgColor rgb="FF000000"/>
        </patternFill>
      </fill>
    </dxf>
    <dxf>
      <fill>
        <patternFill patternType="solid">
          <fgColor rgb="FF707B7C"/>
          <bgColor rgb="FF000000"/>
        </patternFill>
      </fill>
    </dxf>
    <dxf>
      <fill>
        <patternFill patternType="solid">
          <fgColor rgb="FF7B241C"/>
          <bgColor rgb="FF000000"/>
        </patternFill>
      </fill>
    </dxf>
    <dxf>
      <fill>
        <patternFill patternType="solid">
          <fgColor rgb="FFC0392B"/>
          <bgColor rgb="FF000000"/>
        </patternFill>
      </fill>
    </dxf>
    <dxf>
      <fill>
        <patternFill patternType="solid">
          <fgColor rgb="FFD68910"/>
          <bgColor rgb="FF000000"/>
        </patternFill>
      </fill>
    </dxf>
    <dxf>
      <fill>
        <patternFill patternType="solid">
          <fgColor rgb="FF1F3864"/>
          <bgColor rgb="FF000000"/>
        </patternFill>
      </fill>
    </dxf>
    <dxf>
      <fill>
        <patternFill patternType="solid">
          <bgColor rgb="FF000000"/>
        </patternFill>
      </fill>
    </dxf>
    <dxf>
      <font>
        <name val="Arial"/>
        <charset val="1"/>
        <family val="0"/>
        <color rgb="FF7B241C"/>
        <sz val="9"/>
      </font>
      <fill>
        <patternFill>
          <bgColor rgb="FFFFEBEE"/>
        </patternFill>
      </fill>
    </dxf>
    <dxf>
      <font>
        <name val="Arial"/>
        <charset val="1"/>
        <family val="0"/>
        <b val="1"/>
        <color rgb="FFC0392B"/>
        <sz val="9"/>
      </font>
      <fill>
        <patternFill>
          <bgColor rgb="FFFADBD8"/>
        </patternFill>
      </fill>
    </dxf>
    <dxf>
      <font>
        <name val="Arial"/>
        <charset val="1"/>
        <family val="0"/>
        <color rgb="FFD68910"/>
        <sz val="9"/>
      </font>
      <fill>
        <patternFill>
          <bgColor rgb="FFF9E79F"/>
        </patternFill>
      </fill>
    </dxf>
    <dxf>
      <font>
        <name val="Arial"/>
        <charset val="1"/>
        <family val="0"/>
        <color rgb="FFD68910"/>
        <sz val="9"/>
      </font>
      <fill>
        <patternFill>
          <bgColor rgb="FFFEF9E7"/>
        </patternFill>
      </fill>
    </dxf>
    <dxf>
      <font>
        <name val="Arial"/>
        <charset val="1"/>
        <family val="0"/>
        <color rgb="FF1E8449"/>
        <sz val="9"/>
      </font>
      <fill>
        <patternFill>
          <bgColor rgb="FFE9F7EF"/>
        </patternFill>
      </fill>
    </dxf>
    <dxf>
      <font>
        <name val="Arial"/>
        <charset val="1"/>
        <family val="0"/>
        <i val="1"/>
        <color rgb="FF707B7C"/>
        <sz val="9"/>
      </font>
      <fill>
        <patternFill>
          <bgColor rgb="FFECF0F1"/>
        </patternFill>
      </fill>
    </dxf>
    <dxf>
      <font>
        <name val="Arial"/>
        <charset val="1"/>
        <family val="0"/>
        <color rgb="FFC0392B"/>
        <sz val="9"/>
      </font>
      <fill>
        <patternFill>
          <bgColor rgb="FFFADBD8"/>
        </patternFill>
      </fill>
    </dxf>
  </dxfs>
  <colors>
    <indexedColors>
      <rgbColor rgb="FF000000"/>
      <rgbColor rgb="FFFFFFFF"/>
      <rgbColor rgb="FFC0392B"/>
      <rgbColor rgb="FFF5F4F0"/>
      <rgbColor rgb="FF0000FF"/>
      <rgbColor rgb="FFFEF0E7"/>
      <rgbColor rgb="FFF9F8F5"/>
      <rgbColor rgb="FFEBF5FB"/>
      <rgbColor rgb="FF7B241C"/>
      <rgbColor rgb="FF2D7A4E"/>
      <rgbColor rgb="FF0D1F3C"/>
      <rgbColor rgb="FF666666"/>
      <rgbColor rgb="FFE74C3C"/>
      <rgbColor rgb="FF1E8449"/>
      <rgbColor rgb="FFB8C8D8"/>
      <rgbColor rgb="FF707B7C"/>
      <rgbColor rgb="FF4A90D9"/>
      <rgbColor rgb="FF6C3483"/>
      <rgbColor rgb="FFFEF9E7"/>
      <rgbColor rgb="FFEAFAF1"/>
      <rgbColor rgb="FF1A5276"/>
      <rgbColor rgb="FFE67E22"/>
      <rgbColor rgb="FF2E6DA4"/>
      <rgbColor rgb="FFD0CFC9"/>
      <rgbColor rgb="FF2C3E50"/>
      <rgbColor rgb="FFF8FAFD"/>
      <rgbColor rgb="FFFDEDEC"/>
      <rgbColor rgb="FFEBF4FC"/>
      <rgbColor rgb="FF800080"/>
      <rgbColor rgb="FFC94A1E"/>
      <rgbColor rgb="FF16A085"/>
      <rgbColor rgb="FF0000FF"/>
      <rgbColor rgb="FFF0F4F8"/>
      <rgbColor rgb="FFE9F7EF"/>
      <rgbColor rgb="FFD6E8F7"/>
      <rgbColor rgb="FFF9E79F"/>
      <rgbColor rgb="FFA9CCE3"/>
      <rgbColor rgb="FFEDE7F6"/>
      <rgbColor rgb="FFFFEBEE"/>
      <rgbColor rgb="FFFADBD8"/>
      <rgbColor rgb="FF2980B9"/>
      <rgbColor rgb="FF1ABC9C"/>
      <rgbColor rgb="FFC4A227"/>
      <rgbColor rgb="FFECF0F1"/>
      <rgbColor rgb="FFD68910"/>
      <rgbColor rgb="FFE8622A"/>
      <rgbColor rgb="FF6B6B6B"/>
      <rgbColor rgb="FF6B7A8D"/>
      <rgbColor rgb="FF1A3A6B"/>
      <rgbColor rgb="FF27AE60"/>
      <rgbColor rgb="FF1A1A1A"/>
      <rgbColor rgb="FF2A2A2A"/>
      <rgbColor rgb="FF922B21"/>
      <rgbColor rgb="FF8E44AD"/>
      <rgbColor rgb="FF1F3864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D1F3C"/>
    <pageSetUpPr fitToPage="false"/>
  </sheetPr>
  <dimension ref="A1:S4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9" min="1" style="1" width="6.51"/>
  </cols>
  <sheetData>
    <row r="1" customFormat="false" ht="18" hidden="false" customHeight="true" outlineLevel="0" collapsed="false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customFormat="false" ht="18" hidden="false" customHeight="tru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customFormat="false" ht="18" hidden="false" customHeight="true" outlineLevel="0" collapsed="false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2"/>
      <c r="S3" s="2"/>
    </row>
    <row r="4" customFormat="false" ht="18" hidden="false" customHeight="true" outlineLevel="0" collapsed="false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2"/>
      <c r="S4" s="2"/>
    </row>
    <row r="5" customFormat="false" ht="18" hidden="false" customHeight="true" outlineLevel="0" collapsed="false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</row>
    <row r="6" customFormat="false" ht="18" hidden="false" customHeight="true" outlineLevel="0" collapsed="false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</row>
    <row r="7" customFormat="false" ht="18" hidden="false" customHeight="true" outlineLevel="0" collapsed="false">
      <c r="A7" s="2"/>
      <c r="B7" s="2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2"/>
      <c r="R7" s="2"/>
      <c r="S7" s="2"/>
    </row>
    <row r="8" customFormat="false" ht="18" hidden="false" customHeight="true" outlineLevel="0" collapsed="false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</row>
    <row r="9" customFormat="false" ht="18" hidden="false" customHeight="true" outlineLevel="0" collapsed="false">
      <c r="A9" s="2"/>
      <c r="B9" s="2"/>
      <c r="C9" s="5" t="s">
        <v>0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2"/>
      <c r="R9" s="2"/>
      <c r="S9" s="2"/>
    </row>
    <row r="10" customFormat="false" ht="18" hidden="false" customHeight="true" outlineLevel="0" collapsed="false">
      <c r="A10" s="2"/>
      <c r="B10" s="2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2"/>
      <c r="R10" s="2"/>
      <c r="S10" s="2"/>
    </row>
    <row r="11" customFormat="false" ht="18" hidden="false" customHeight="true" outlineLevel="0" collapsed="false">
      <c r="A11" s="2"/>
      <c r="B11" s="2"/>
      <c r="C11" s="6" t="s">
        <v>1</v>
      </c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2"/>
      <c r="R11" s="2"/>
      <c r="S11" s="2"/>
    </row>
    <row r="12" customFormat="false" ht="18" hidden="false" customHeight="true" outlineLevel="0" collapsed="false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</row>
    <row r="13" customFormat="false" ht="3" hidden="false" customHeight="true" outlineLevel="0" collapsed="false">
      <c r="A13" s="2"/>
      <c r="B13" s="2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2"/>
      <c r="R13" s="2"/>
      <c r="S13" s="2"/>
    </row>
    <row r="14" customFormat="false" ht="18" hidden="false" customHeight="true" outlineLevel="0" collapsed="false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</row>
    <row r="15" customFormat="false" ht="19.5" hidden="false" customHeight="true" outlineLevel="0" collapsed="false">
      <c r="A15" s="2"/>
      <c r="B15" s="2"/>
      <c r="C15" s="2"/>
      <c r="D15" s="8" t="s">
        <v>2</v>
      </c>
      <c r="E15" s="8"/>
      <c r="F15" s="8"/>
      <c r="G15" s="8"/>
      <c r="H15" s="9" t="s">
        <v>3</v>
      </c>
      <c r="I15" s="9"/>
      <c r="J15" s="9"/>
      <c r="K15" s="9"/>
      <c r="L15" s="9"/>
      <c r="M15" s="9"/>
      <c r="N15" s="9"/>
      <c r="O15" s="2"/>
      <c r="P15" s="2"/>
      <c r="Q15" s="2"/>
      <c r="R15" s="2"/>
      <c r="S15" s="2"/>
    </row>
    <row r="16" customFormat="false" ht="18" hidden="false" customHeight="true" outlineLevel="0" collapsed="false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</row>
    <row r="17" customFormat="false" ht="19.5" hidden="false" customHeight="true" outlineLevel="0" collapsed="false">
      <c r="A17" s="2"/>
      <c r="B17" s="2"/>
      <c r="C17" s="2"/>
      <c r="D17" s="8" t="s">
        <v>4</v>
      </c>
      <c r="E17" s="8"/>
      <c r="F17" s="8"/>
      <c r="G17" s="8"/>
      <c r="H17" s="9" t="s">
        <v>5</v>
      </c>
      <c r="I17" s="9"/>
      <c r="J17" s="9"/>
      <c r="K17" s="9"/>
      <c r="L17" s="9"/>
      <c r="M17" s="9"/>
      <c r="N17" s="9"/>
      <c r="O17" s="2"/>
      <c r="P17" s="2"/>
      <c r="Q17" s="2"/>
      <c r="R17" s="2"/>
      <c r="S17" s="2"/>
    </row>
    <row r="18" customFormat="false" ht="18" hidden="false" customHeight="true" outlineLevel="0" collapsed="false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</row>
    <row r="19" customFormat="false" ht="19.5" hidden="false" customHeight="true" outlineLevel="0" collapsed="false">
      <c r="A19" s="2"/>
      <c r="B19" s="2"/>
      <c r="C19" s="2"/>
      <c r="D19" s="8" t="s">
        <v>6</v>
      </c>
      <c r="E19" s="8"/>
      <c r="F19" s="8"/>
      <c r="G19" s="8"/>
      <c r="H19" s="9" t="s">
        <v>7</v>
      </c>
      <c r="I19" s="9"/>
      <c r="J19" s="9"/>
      <c r="K19" s="9"/>
      <c r="L19" s="9"/>
      <c r="M19" s="9"/>
      <c r="N19" s="9"/>
      <c r="O19" s="2"/>
      <c r="P19" s="2"/>
      <c r="Q19" s="2"/>
      <c r="R19" s="2"/>
      <c r="S19" s="2"/>
    </row>
    <row r="20" customFormat="false" ht="18" hidden="false" customHeight="true" outlineLevel="0" collapsed="false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</row>
    <row r="21" customFormat="false" ht="19.5" hidden="false" customHeight="true" outlineLevel="0" collapsed="false">
      <c r="A21" s="2"/>
      <c r="B21" s="2"/>
      <c r="C21" s="2"/>
      <c r="D21" s="8" t="s">
        <v>8</v>
      </c>
      <c r="E21" s="8"/>
      <c r="F21" s="8"/>
      <c r="G21" s="8"/>
      <c r="H21" s="9" t="s">
        <v>9</v>
      </c>
      <c r="I21" s="9"/>
      <c r="J21" s="9"/>
      <c r="K21" s="9"/>
      <c r="L21" s="9"/>
      <c r="M21" s="9"/>
      <c r="N21" s="9"/>
      <c r="O21" s="2"/>
      <c r="P21" s="2"/>
      <c r="Q21" s="2"/>
      <c r="R21" s="2"/>
      <c r="S21" s="2"/>
    </row>
    <row r="22" customFormat="false" ht="18" hidden="false" customHeight="true" outlineLevel="0" collapsed="false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</row>
    <row r="23" customFormat="false" ht="19.5" hidden="false" customHeight="true" outlineLevel="0" collapsed="false">
      <c r="A23" s="2"/>
      <c r="B23" s="2"/>
      <c r="C23" s="2"/>
      <c r="D23" s="8" t="s">
        <v>10</v>
      </c>
      <c r="E23" s="8"/>
      <c r="F23" s="8"/>
      <c r="G23" s="8"/>
      <c r="H23" s="9" t="s">
        <v>11</v>
      </c>
      <c r="I23" s="9"/>
      <c r="J23" s="9"/>
      <c r="K23" s="9"/>
      <c r="L23" s="9"/>
      <c r="M23" s="9"/>
      <c r="N23" s="9"/>
      <c r="O23" s="2"/>
      <c r="P23" s="2"/>
      <c r="Q23" s="2"/>
      <c r="R23" s="2"/>
      <c r="S23" s="2"/>
    </row>
    <row r="24" customFormat="false" ht="18" hidden="false" customHeight="true" outlineLevel="0" collapsed="false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</row>
    <row r="25" customFormat="false" ht="18" hidden="false" customHeight="true" outlineLevel="0" collapsed="false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</row>
    <row r="26" customFormat="false" ht="18" hidden="false" customHeight="true" outlineLevel="0" collapsed="false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</row>
    <row r="27" customFormat="false" ht="18" hidden="false" customHeight="true" outlineLevel="0" collapsed="false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</row>
    <row r="28" customFormat="false" ht="18" hidden="false" customHeight="true" outlineLevel="0" collapsed="false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</row>
    <row r="29" customFormat="false" ht="3" hidden="false" customHeight="true" outlineLevel="0" collapsed="false">
      <c r="A29" s="2"/>
      <c r="B29" s="2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2"/>
      <c r="R29" s="2"/>
      <c r="S29" s="2"/>
    </row>
    <row r="30" customFormat="false" ht="18" hidden="false" customHeight="true" outlineLevel="0" collapsed="false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</row>
    <row r="31" customFormat="false" ht="18" hidden="false" customHeight="true" outlineLevel="0" collapsed="false">
      <c r="A31" s="2"/>
      <c r="B31" s="2"/>
      <c r="C31" s="10" t="s">
        <v>12</v>
      </c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2"/>
      <c r="R31" s="2"/>
      <c r="S31" s="2"/>
    </row>
    <row r="32" customFormat="false" ht="18" hidden="false" customHeight="true" outlineLevel="0" collapsed="false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</row>
    <row r="33" customFormat="false" ht="18" hidden="false" customHeight="true" outlineLevel="0" collapsed="false">
      <c r="A33" s="2"/>
      <c r="B33" s="2"/>
      <c r="C33" s="2"/>
      <c r="D33" s="11" t="s">
        <v>13</v>
      </c>
      <c r="E33" s="11"/>
      <c r="F33" s="11"/>
      <c r="G33" s="12" t="s">
        <v>14</v>
      </c>
      <c r="H33" s="12"/>
      <c r="I33" s="12"/>
      <c r="J33" s="12"/>
      <c r="K33" s="12"/>
      <c r="L33" s="12"/>
      <c r="M33" s="12"/>
      <c r="N33" s="12"/>
      <c r="O33" s="2"/>
      <c r="P33" s="2"/>
      <c r="Q33" s="2"/>
      <c r="R33" s="2"/>
      <c r="S33" s="2"/>
    </row>
    <row r="34" customFormat="false" ht="18" hidden="false" customHeight="true" outlineLevel="0" collapsed="false">
      <c r="A34" s="2"/>
      <c r="B34" s="2"/>
      <c r="C34" s="2"/>
      <c r="D34" s="13" t="s">
        <v>15</v>
      </c>
      <c r="E34" s="13"/>
      <c r="F34" s="13"/>
      <c r="G34" s="14" t="s">
        <v>16</v>
      </c>
      <c r="H34" s="14"/>
      <c r="I34" s="14"/>
      <c r="J34" s="14"/>
      <c r="K34" s="14"/>
      <c r="L34" s="14"/>
      <c r="M34" s="14"/>
      <c r="N34" s="14"/>
      <c r="O34" s="2"/>
      <c r="P34" s="2"/>
      <c r="Q34" s="2"/>
      <c r="R34" s="2"/>
      <c r="S34" s="2"/>
    </row>
    <row r="35" customFormat="false" ht="18" hidden="false" customHeight="true" outlineLevel="0" collapsed="false">
      <c r="A35" s="2"/>
      <c r="B35" s="2"/>
      <c r="C35" s="2"/>
      <c r="D35" s="13" t="s">
        <v>17</v>
      </c>
      <c r="E35" s="13"/>
      <c r="F35" s="13"/>
      <c r="G35" s="14" t="s">
        <v>18</v>
      </c>
      <c r="H35" s="14"/>
      <c r="I35" s="14"/>
      <c r="J35" s="14"/>
      <c r="K35" s="14"/>
      <c r="L35" s="14"/>
      <c r="M35" s="14"/>
      <c r="N35" s="14"/>
      <c r="O35" s="2"/>
      <c r="P35" s="2"/>
      <c r="Q35" s="2"/>
      <c r="R35" s="2"/>
      <c r="S35" s="2"/>
    </row>
    <row r="36" customFormat="false" ht="18" hidden="false" customHeight="true" outlineLevel="0" collapsed="false">
      <c r="A36" s="2"/>
      <c r="B36" s="2"/>
      <c r="C36" s="2"/>
      <c r="D36" s="13" t="s">
        <v>19</v>
      </c>
      <c r="E36" s="13"/>
      <c r="F36" s="13"/>
      <c r="G36" s="14" t="s">
        <v>20</v>
      </c>
      <c r="H36" s="14"/>
      <c r="I36" s="14"/>
      <c r="J36" s="14"/>
      <c r="K36" s="14"/>
      <c r="L36" s="14"/>
      <c r="M36" s="14"/>
      <c r="N36" s="14"/>
      <c r="O36" s="2"/>
      <c r="P36" s="2"/>
      <c r="Q36" s="2"/>
      <c r="R36" s="2"/>
      <c r="S36" s="2"/>
    </row>
    <row r="37" customFormat="false" ht="18" hidden="false" customHeight="true" outlineLevel="0" collapsed="false">
      <c r="A37" s="2"/>
      <c r="B37" s="2"/>
      <c r="C37" s="2"/>
      <c r="D37" s="13" t="s">
        <v>21</v>
      </c>
      <c r="E37" s="13"/>
      <c r="F37" s="13"/>
      <c r="G37" s="14" t="s">
        <v>22</v>
      </c>
      <c r="H37" s="14"/>
      <c r="I37" s="14"/>
      <c r="J37" s="14"/>
      <c r="K37" s="14"/>
      <c r="L37" s="14"/>
      <c r="M37" s="14"/>
      <c r="N37" s="14"/>
      <c r="O37" s="2"/>
      <c r="P37" s="2"/>
      <c r="Q37" s="2"/>
      <c r="R37" s="2"/>
      <c r="S37" s="2"/>
    </row>
    <row r="38" customFormat="false" ht="18" hidden="false" customHeight="true" outlineLevel="0" collapsed="false">
      <c r="A38" s="2"/>
      <c r="B38" s="2"/>
      <c r="C38" s="2"/>
      <c r="D38" s="13" t="s">
        <v>23</v>
      </c>
      <c r="E38" s="13"/>
      <c r="F38" s="13"/>
      <c r="G38" s="14" t="s">
        <v>24</v>
      </c>
      <c r="H38" s="14"/>
      <c r="I38" s="14"/>
      <c r="J38" s="14"/>
      <c r="K38" s="14"/>
      <c r="L38" s="14"/>
      <c r="M38" s="14"/>
      <c r="N38" s="14"/>
      <c r="O38" s="2"/>
      <c r="P38" s="2"/>
      <c r="Q38" s="2"/>
      <c r="R38" s="2"/>
      <c r="S38" s="2"/>
    </row>
    <row r="39" customFormat="false" ht="18" hidden="false" customHeight="true" outlineLevel="0" collapsed="false">
      <c r="A39" s="2"/>
      <c r="B39" s="2"/>
      <c r="C39" s="2"/>
      <c r="D39" s="13" t="s">
        <v>25</v>
      </c>
      <c r="E39" s="13"/>
      <c r="F39" s="13"/>
      <c r="G39" s="14" t="s">
        <v>26</v>
      </c>
      <c r="H39" s="14"/>
      <c r="I39" s="14"/>
      <c r="J39" s="14"/>
      <c r="K39" s="14"/>
      <c r="L39" s="14"/>
      <c r="M39" s="14"/>
      <c r="N39" s="14"/>
      <c r="O39" s="2"/>
      <c r="P39" s="2"/>
      <c r="Q39" s="2"/>
      <c r="R39" s="2"/>
      <c r="S39" s="2"/>
    </row>
    <row r="40" customFormat="false" ht="18" hidden="false" customHeight="true" outlineLevel="0" collapsed="false">
      <c r="A40" s="2"/>
      <c r="B40" s="2"/>
      <c r="C40" s="2"/>
      <c r="D40" s="15" t="s">
        <v>27</v>
      </c>
      <c r="E40" s="2"/>
      <c r="F40" s="2"/>
      <c r="G40" s="16" t="s">
        <v>28</v>
      </c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</row>
    <row r="41" customFormat="false" ht="18" hidden="false" customHeight="true" outlineLevel="0" collapsed="false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</row>
    <row r="42" customFormat="false" ht="18" hidden="false" customHeight="true" outlineLevel="0" collapsed="false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</row>
    <row r="43" customFormat="false" ht="18" hidden="false" customHeight="true" outlineLevel="0" collapsed="false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</row>
    <row r="44" customFormat="false" ht="18" hidden="false" customHeight="true" outlineLevel="0" collapsed="false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</row>
    <row r="45" customFormat="false" ht="18" hidden="false" customHeight="true" outlineLevel="0" collapsed="false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</row>
    <row r="46" customFormat="false" ht="18" hidden="false" customHeight="true" outlineLevel="0" collapsed="false">
      <c r="A46" s="2"/>
      <c r="B46" s="2"/>
      <c r="C46" s="17" t="s">
        <v>29</v>
      </c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2"/>
      <c r="R46" s="2"/>
      <c r="S46" s="2"/>
    </row>
    <row r="47" customFormat="false" ht="18" hidden="false" customHeight="true" outlineLevel="0" collapsed="false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</row>
    <row r="48" customFormat="false" ht="18" hidden="false" customHeight="true" outlineLevel="0" collapsed="false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</row>
    <row r="49" customFormat="false" ht="18" hidden="false" customHeight="true" outlineLevel="0" collapsed="false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</row>
  </sheetData>
  <mergeCells count="29">
    <mergeCell ref="C7:P7"/>
    <mergeCell ref="C9:P10"/>
    <mergeCell ref="C11:P11"/>
    <mergeCell ref="D15:G15"/>
    <mergeCell ref="H15:N15"/>
    <mergeCell ref="D17:G17"/>
    <mergeCell ref="H17:N17"/>
    <mergeCell ref="D19:G19"/>
    <mergeCell ref="H19:N19"/>
    <mergeCell ref="D21:G21"/>
    <mergeCell ref="H21:N21"/>
    <mergeCell ref="D23:G23"/>
    <mergeCell ref="H23:N23"/>
    <mergeCell ref="C31:P31"/>
    <mergeCell ref="D33:F33"/>
    <mergeCell ref="G33:N33"/>
    <mergeCell ref="D34:F34"/>
    <mergeCell ref="G34:N34"/>
    <mergeCell ref="D35:F35"/>
    <mergeCell ref="G35:N35"/>
    <mergeCell ref="D36:F36"/>
    <mergeCell ref="G36:N36"/>
    <mergeCell ref="D37:F37"/>
    <mergeCell ref="G37:N37"/>
    <mergeCell ref="D38:F38"/>
    <mergeCell ref="G38:N38"/>
    <mergeCell ref="D39:F39"/>
    <mergeCell ref="G39:N39"/>
    <mergeCell ref="C46:P46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8E44AD"/>
    <pageSetUpPr fitToPage="false"/>
  </sheetPr>
  <dimension ref="B2:C33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3"/>
    <col collapsed="false" customWidth="true" hidden="false" outlineLevel="0" max="2" min="2" style="1" width="26"/>
    <col collapsed="false" customWidth="true" hidden="false" outlineLevel="0" max="3" min="3" style="1" width="70"/>
  </cols>
  <sheetData>
    <row r="2" customFormat="false" ht="37.5" hidden="false" customHeight="true" outlineLevel="0" collapsed="false">
      <c r="B2" s="102" t="s">
        <v>587</v>
      </c>
      <c r="C2" s="102"/>
    </row>
    <row r="4" customFormat="false" ht="19.5" hidden="false" customHeight="true" outlineLevel="0" collapsed="false">
      <c r="B4" s="189" t="s">
        <v>588</v>
      </c>
      <c r="C4" s="189"/>
    </row>
    <row r="5" customFormat="false" ht="19.5" hidden="false" customHeight="true" outlineLevel="0" collapsed="false">
      <c r="B5" s="190" t="s">
        <v>589</v>
      </c>
      <c r="C5" s="191" t="s">
        <v>590</v>
      </c>
    </row>
    <row r="6" customFormat="false" ht="19.5" hidden="false" customHeight="true" outlineLevel="0" collapsed="false">
      <c r="B6" s="192" t="s">
        <v>591</v>
      </c>
      <c r="C6" s="193" t="s">
        <v>592</v>
      </c>
    </row>
    <row r="7" customFormat="false" ht="19.5" hidden="false" customHeight="true" outlineLevel="0" collapsed="false">
      <c r="B7" s="190" t="s">
        <v>593</v>
      </c>
      <c r="C7" s="191" t="s">
        <v>594</v>
      </c>
    </row>
    <row r="8" customFormat="false" ht="19.5" hidden="false" customHeight="true" outlineLevel="0" collapsed="false">
      <c r="B8" s="192" t="s">
        <v>595</v>
      </c>
      <c r="C8" s="193" t="s">
        <v>596</v>
      </c>
    </row>
    <row r="9" customFormat="false" ht="19.5" hidden="false" customHeight="true" outlineLevel="0" collapsed="false">
      <c r="B9" s="190" t="s">
        <v>597</v>
      </c>
      <c r="C9" s="191" t="s">
        <v>598</v>
      </c>
    </row>
    <row r="10" customFormat="false" ht="19.5" hidden="false" customHeight="true" outlineLevel="0" collapsed="false">
      <c r="B10" s="189" t="s">
        <v>599</v>
      </c>
      <c r="C10" s="189"/>
    </row>
    <row r="11" customFormat="false" ht="19.5" hidden="false" customHeight="true" outlineLevel="0" collapsed="false">
      <c r="B11" s="190" t="s">
        <v>600</v>
      </c>
      <c r="C11" s="191" t="s">
        <v>601</v>
      </c>
    </row>
    <row r="12" customFormat="false" ht="19.5" hidden="false" customHeight="true" outlineLevel="0" collapsed="false">
      <c r="B12" s="192" t="s">
        <v>602</v>
      </c>
      <c r="C12" s="193" t="s">
        <v>603</v>
      </c>
    </row>
    <row r="13" customFormat="false" ht="19.5" hidden="false" customHeight="true" outlineLevel="0" collapsed="false">
      <c r="B13" s="190" t="s">
        <v>604</v>
      </c>
      <c r="C13" s="191" t="s">
        <v>605</v>
      </c>
    </row>
    <row r="14" customFormat="false" ht="19.5" hidden="false" customHeight="true" outlineLevel="0" collapsed="false">
      <c r="B14" s="192" t="s">
        <v>606</v>
      </c>
      <c r="C14" s="193" t="s">
        <v>607</v>
      </c>
    </row>
    <row r="15" customFormat="false" ht="19.5" hidden="false" customHeight="true" outlineLevel="0" collapsed="false">
      <c r="B15" s="190" t="s">
        <v>608</v>
      </c>
      <c r="C15" s="191" t="s">
        <v>609</v>
      </c>
    </row>
    <row r="16" customFormat="false" ht="19.5" hidden="false" customHeight="true" outlineLevel="0" collapsed="false">
      <c r="B16" s="192" t="s">
        <v>610</v>
      </c>
      <c r="C16" s="193" t="s">
        <v>611</v>
      </c>
    </row>
    <row r="17" customFormat="false" ht="19.5" hidden="false" customHeight="true" outlineLevel="0" collapsed="false">
      <c r="B17" s="190" t="s">
        <v>612</v>
      </c>
      <c r="C17" s="191" t="s">
        <v>613</v>
      </c>
    </row>
    <row r="18" customFormat="false" ht="19.5" hidden="false" customHeight="true" outlineLevel="0" collapsed="false">
      <c r="B18" s="189" t="s">
        <v>614</v>
      </c>
      <c r="C18" s="189"/>
    </row>
    <row r="19" customFormat="false" ht="19.5" hidden="false" customHeight="true" outlineLevel="0" collapsed="false">
      <c r="B19" s="190" t="s">
        <v>615</v>
      </c>
      <c r="C19" s="191" t="s">
        <v>616</v>
      </c>
    </row>
    <row r="20" customFormat="false" ht="19.5" hidden="false" customHeight="true" outlineLevel="0" collapsed="false">
      <c r="B20" s="192" t="s">
        <v>617</v>
      </c>
      <c r="C20" s="193" t="s">
        <v>618</v>
      </c>
    </row>
    <row r="21" customFormat="false" ht="19.5" hidden="false" customHeight="true" outlineLevel="0" collapsed="false">
      <c r="B21" s="190" t="s">
        <v>619</v>
      </c>
      <c r="C21" s="191" t="s">
        <v>620</v>
      </c>
    </row>
    <row r="22" customFormat="false" ht="19.5" hidden="false" customHeight="true" outlineLevel="0" collapsed="false">
      <c r="B22" s="192" t="s">
        <v>621</v>
      </c>
      <c r="C22" s="193" t="s">
        <v>622</v>
      </c>
    </row>
    <row r="23" customFormat="false" ht="19.5" hidden="false" customHeight="true" outlineLevel="0" collapsed="false">
      <c r="B23" s="190" t="s">
        <v>623</v>
      </c>
      <c r="C23" s="191" t="s">
        <v>624</v>
      </c>
    </row>
    <row r="24" customFormat="false" ht="19.5" hidden="false" customHeight="true" outlineLevel="0" collapsed="false">
      <c r="B24" s="189" t="s">
        <v>625</v>
      </c>
      <c r="C24" s="189"/>
    </row>
    <row r="25" customFormat="false" ht="19.5" hidden="false" customHeight="true" outlineLevel="0" collapsed="false">
      <c r="B25" s="190" t="s">
        <v>626</v>
      </c>
      <c r="C25" s="191" t="s">
        <v>627</v>
      </c>
    </row>
    <row r="26" customFormat="false" ht="19.5" hidden="false" customHeight="true" outlineLevel="0" collapsed="false">
      <c r="B26" s="192" t="s">
        <v>628</v>
      </c>
      <c r="C26" s="193" t="s">
        <v>629</v>
      </c>
    </row>
    <row r="27" customFormat="false" ht="19.5" hidden="false" customHeight="true" outlineLevel="0" collapsed="false">
      <c r="B27" s="190" t="s">
        <v>630</v>
      </c>
      <c r="C27" s="191" t="s">
        <v>631</v>
      </c>
    </row>
    <row r="28" customFormat="false" ht="19.5" hidden="false" customHeight="true" outlineLevel="0" collapsed="false">
      <c r="B28" s="192" t="s">
        <v>632</v>
      </c>
      <c r="C28" s="193" t="s">
        <v>633</v>
      </c>
    </row>
    <row r="29" customFormat="false" ht="19.5" hidden="false" customHeight="true" outlineLevel="0" collapsed="false">
      <c r="B29" s="190" t="s">
        <v>634</v>
      </c>
      <c r="C29" s="191" t="s">
        <v>635</v>
      </c>
    </row>
    <row r="30" customFormat="false" ht="19.5" hidden="false" customHeight="true" outlineLevel="0" collapsed="false">
      <c r="B30" s="189" t="s">
        <v>636</v>
      </c>
      <c r="C30" s="189"/>
    </row>
    <row r="31" customFormat="false" ht="19.5" hidden="false" customHeight="true" outlineLevel="0" collapsed="false">
      <c r="B31" s="190" t="s">
        <v>637</v>
      </c>
      <c r="C31" s="191" t="s">
        <v>638</v>
      </c>
    </row>
    <row r="32" customFormat="false" ht="19.5" hidden="false" customHeight="true" outlineLevel="0" collapsed="false">
      <c r="B32" s="192" t="s">
        <v>639</v>
      </c>
      <c r="C32" s="193" t="s">
        <v>640</v>
      </c>
    </row>
    <row r="33" customFormat="false" ht="19.5" hidden="false" customHeight="true" outlineLevel="0" collapsed="false">
      <c r="B33" s="190" t="s">
        <v>641</v>
      </c>
      <c r="C33" s="191" t="s">
        <v>642</v>
      </c>
    </row>
  </sheetData>
  <mergeCells count="6">
    <mergeCell ref="B2:C2"/>
    <mergeCell ref="B4:C4"/>
    <mergeCell ref="B10:C10"/>
    <mergeCell ref="B18:C18"/>
    <mergeCell ref="B24:C24"/>
    <mergeCell ref="B30:C30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5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2"/>
    <col collapsed="false" customWidth="true" hidden="false" outlineLevel="0" max="2" min="2" style="1" width="22"/>
    <col collapsed="false" customWidth="true" hidden="false" outlineLevel="0" max="8" min="3" style="1" width="16"/>
    <col collapsed="false" customWidth="true" hidden="false" outlineLevel="0" max="9" min="9" style="1" width="2"/>
  </cols>
  <sheetData>
    <row r="1" customFormat="false" ht="15" hidden="false" customHeight="true" outlineLevel="0" collapsed="false">
      <c r="A1" s="18"/>
      <c r="B1" s="18"/>
      <c r="C1" s="18"/>
      <c r="D1" s="18"/>
      <c r="E1" s="18"/>
      <c r="F1" s="18"/>
      <c r="G1" s="18"/>
      <c r="H1" s="18"/>
      <c r="I1" s="18"/>
    </row>
    <row r="2" customFormat="false" ht="19.5" hidden="false" customHeight="true" outlineLevel="0" collapsed="false">
      <c r="A2" s="18"/>
      <c r="B2" s="19" t="s">
        <v>30</v>
      </c>
      <c r="C2" s="19"/>
      <c r="D2" s="19"/>
      <c r="E2" s="19"/>
      <c r="F2" s="19"/>
      <c r="G2" s="19"/>
      <c r="H2" s="19"/>
      <c r="I2" s="18"/>
    </row>
    <row r="3" customFormat="false" ht="15" hidden="false" customHeight="true" outlineLevel="0" collapsed="false">
      <c r="A3" s="18"/>
      <c r="B3" s="20" t="s">
        <v>31</v>
      </c>
      <c r="C3" s="20"/>
      <c r="D3" s="20"/>
      <c r="E3" s="20"/>
      <c r="F3" s="20"/>
      <c r="G3" s="20"/>
      <c r="H3" s="20"/>
      <c r="I3" s="18"/>
    </row>
    <row r="4" customFormat="false" ht="15" hidden="false" customHeight="true" outlineLevel="0" collapsed="false">
      <c r="A4" s="18"/>
      <c r="B4" s="18"/>
      <c r="C4" s="18"/>
      <c r="D4" s="18"/>
      <c r="E4" s="18"/>
      <c r="F4" s="18"/>
      <c r="G4" s="18"/>
      <c r="H4" s="18"/>
      <c r="I4" s="18"/>
    </row>
    <row r="5" customFormat="false" ht="15" hidden="false" customHeight="true" outlineLevel="0" collapsed="false">
      <c r="A5" s="18"/>
      <c r="B5" s="21" t="s">
        <v>32</v>
      </c>
      <c r="C5" s="18"/>
      <c r="D5" s="18"/>
      <c r="E5" s="18"/>
      <c r="F5" s="18"/>
      <c r="G5" s="18"/>
      <c r="H5" s="18"/>
      <c r="I5" s="18"/>
    </row>
    <row r="6" customFormat="false" ht="15" hidden="false" customHeight="true" outlineLevel="0" collapsed="false">
      <c r="A6" s="18"/>
      <c r="B6" s="22" t="s">
        <v>33</v>
      </c>
      <c r="C6" s="22" t="s">
        <v>34</v>
      </c>
      <c r="D6" s="22" t="s">
        <v>35</v>
      </c>
      <c r="E6" s="22" t="s">
        <v>36</v>
      </c>
      <c r="F6" s="22" t="s">
        <v>37</v>
      </c>
      <c r="G6" s="22" t="s">
        <v>38</v>
      </c>
      <c r="H6" s="18"/>
      <c r="I6" s="18"/>
    </row>
    <row r="7" customFormat="false" ht="24" hidden="false" customHeight="true" outlineLevel="0" collapsed="false">
      <c r="A7" s="18"/>
      <c r="B7" s="23" t="n">
        <f aca="false">COUNTA('RFQ Tracker'!C12:C511)</f>
        <v>60</v>
      </c>
      <c r="C7" s="23" t="n">
        <f aca="false">COUNTIF('RFQ Tracker'!Z12:Z511,"Open")</f>
        <v>25</v>
      </c>
      <c r="D7" s="24" t="n">
        <f aca="false">COUNTIFS('RFQ Tracker'!N12:N511,"OVERDUE",'RFQ Tracker'!Z12:Z511,"Open")</f>
        <v>3</v>
      </c>
      <c r="E7" s="25" t="n">
        <f aca="false">IFERROR(AVERAGEIF('RFQ Tracker'!X12:X511,"&gt;0"),0)</f>
        <v>38.1875</v>
      </c>
      <c r="F7" s="26" t="n">
        <f aca="false">SUMIF('RFQ Tracker'!T12:T511,"&gt;0")</f>
        <v>42840</v>
      </c>
      <c r="G7" s="27" t="n">
        <f aca="false">IFERROR(COUNTIF('RFQ Tracker'!Y12:Y511,"Yes")/COUNTIF('RFQ Tracker'!Y12:Y511,"&lt;&gt;"),0)</f>
        <v>0.106666666666667</v>
      </c>
      <c r="H7" s="18"/>
      <c r="I7" s="18"/>
    </row>
    <row r="8" customFormat="false" ht="15" hidden="false" customHeight="true" outlineLevel="0" collapsed="false">
      <c r="A8" s="18"/>
      <c r="B8" s="18"/>
      <c r="C8" s="18"/>
      <c r="D8" s="18"/>
      <c r="E8" s="18"/>
      <c r="F8" s="18"/>
      <c r="G8" s="18"/>
      <c r="H8" s="18"/>
      <c r="I8" s="18"/>
    </row>
    <row r="9" customFormat="false" ht="15" hidden="false" customHeight="true" outlineLevel="0" collapsed="false">
      <c r="A9" s="18"/>
      <c r="B9" s="21" t="s">
        <v>39</v>
      </c>
      <c r="C9" s="18"/>
      <c r="D9" s="18"/>
      <c r="E9" s="18"/>
      <c r="F9" s="18"/>
      <c r="G9" s="18"/>
      <c r="H9" s="18"/>
      <c r="I9" s="18"/>
    </row>
    <row r="10" customFormat="false" ht="15" hidden="false" customHeight="true" outlineLevel="0" collapsed="false">
      <c r="A10" s="18"/>
      <c r="B10" s="28" t="s">
        <v>40</v>
      </c>
      <c r="C10" s="29" t="s">
        <v>41</v>
      </c>
      <c r="D10" s="30" t="s">
        <v>42</v>
      </c>
      <c r="E10" s="31" t="s">
        <v>43</v>
      </c>
      <c r="F10" s="32" t="s">
        <v>44</v>
      </c>
      <c r="G10" s="18"/>
      <c r="H10" s="18"/>
      <c r="I10" s="18"/>
    </row>
    <row r="11" customFormat="false" ht="17.25" hidden="false" customHeight="true" outlineLevel="0" collapsed="false">
      <c r="A11" s="18"/>
      <c r="B11" s="33" t="n">
        <f aca="false">COUNTIF('RFQ Tracker'!H12:H511,"Critical")</f>
        <v>17</v>
      </c>
      <c r="C11" s="34" t="n">
        <f aca="false">COUNTIF('RFQ Tracker'!H12:H511,"High")</f>
        <v>21</v>
      </c>
      <c r="D11" s="35" t="n">
        <f aca="false">COUNTIF('RFQ Tracker'!H12:H511,"Medium")</f>
        <v>12</v>
      </c>
      <c r="E11" s="36" t="n">
        <f aca="false">COUNTIF('RFQ Tracker'!H12:H511,"Low")</f>
        <v>10</v>
      </c>
      <c r="F11" s="37" t="n">
        <f aca="false">COUNTIF('RFQ Tracker'!Z12:Z511,"Closed")</f>
        <v>32</v>
      </c>
      <c r="G11" s="18"/>
      <c r="H11" s="18"/>
      <c r="I11" s="18"/>
    </row>
    <row r="12" customFormat="false" ht="15" hidden="false" customHeight="true" outlineLevel="0" collapsed="false">
      <c r="A12" s="18"/>
      <c r="B12" s="18"/>
      <c r="C12" s="18"/>
      <c r="D12" s="18"/>
      <c r="E12" s="18"/>
      <c r="F12" s="18"/>
      <c r="G12" s="18"/>
      <c r="H12" s="18"/>
      <c r="I12" s="18"/>
    </row>
    <row r="13" customFormat="false" ht="15" hidden="false" customHeight="true" outlineLevel="0" collapsed="false">
      <c r="A13" s="18"/>
      <c r="B13" s="21" t="s">
        <v>45</v>
      </c>
      <c r="C13" s="18"/>
      <c r="D13" s="18"/>
      <c r="E13" s="18"/>
      <c r="F13" s="18"/>
      <c r="G13" s="18"/>
      <c r="H13" s="18"/>
      <c r="I13" s="18"/>
    </row>
    <row r="14" customFormat="false" ht="15" hidden="false" customHeight="true" outlineLevel="0" collapsed="false">
      <c r="A14" s="18"/>
      <c r="B14" s="38" t="s">
        <v>46</v>
      </c>
      <c r="C14" s="38" t="s">
        <v>47</v>
      </c>
      <c r="D14" s="38" t="s">
        <v>48</v>
      </c>
      <c r="E14" s="38" t="s">
        <v>49</v>
      </c>
      <c r="F14" s="38" t="s">
        <v>50</v>
      </c>
      <c r="G14" s="38" t="s">
        <v>51</v>
      </c>
      <c r="H14" s="18"/>
      <c r="I14" s="18"/>
    </row>
    <row r="15" customFormat="false" ht="15" hidden="false" customHeight="true" outlineLevel="0" collapsed="false">
      <c r="A15" s="18"/>
      <c r="B15" s="39" t="s">
        <v>52</v>
      </c>
      <c r="C15" s="39"/>
      <c r="D15" s="39"/>
      <c r="E15" s="39"/>
      <c r="F15" s="39"/>
      <c r="G15" s="39"/>
      <c r="H15" s="18"/>
      <c r="I15" s="18"/>
    </row>
    <row r="16" customFormat="false" ht="15" hidden="false" customHeight="true" outlineLevel="0" collapsed="false">
      <c r="A16" s="18"/>
      <c r="B16" s="40"/>
      <c r="C16" s="40"/>
      <c r="D16" s="40"/>
      <c r="E16" s="40"/>
      <c r="F16" s="40"/>
      <c r="G16" s="40"/>
      <c r="H16" s="18"/>
      <c r="I16" s="18"/>
    </row>
    <row r="17" customFormat="false" ht="15" hidden="false" customHeight="true" outlineLevel="0" collapsed="false">
      <c r="A17" s="18"/>
      <c r="B17" s="41"/>
      <c r="C17" s="41"/>
      <c r="D17" s="41"/>
      <c r="E17" s="41"/>
      <c r="F17" s="41"/>
      <c r="G17" s="41"/>
      <c r="H17" s="18"/>
      <c r="I17" s="18"/>
    </row>
    <row r="18" customFormat="false" ht="15" hidden="false" customHeight="true" outlineLevel="0" collapsed="false">
      <c r="A18" s="18"/>
      <c r="B18" s="42" t="s">
        <v>53</v>
      </c>
      <c r="C18" s="40"/>
      <c r="D18" s="40"/>
      <c r="E18" s="40"/>
      <c r="F18" s="40"/>
      <c r="G18" s="40"/>
      <c r="H18" s="18"/>
      <c r="I18" s="18"/>
    </row>
    <row r="19" customFormat="false" ht="15" hidden="false" customHeight="true" outlineLevel="0" collapsed="false">
      <c r="A19" s="18"/>
      <c r="B19" s="43" t="s">
        <v>54</v>
      </c>
      <c r="C19" s="44" t="n">
        <f aca="false">SUMIF('RFQ Tracker'!Q12:Q511,"&gt;0")</f>
        <v>1679400</v>
      </c>
      <c r="D19" s="41"/>
      <c r="E19" s="41"/>
      <c r="F19" s="41"/>
      <c r="G19" s="41"/>
      <c r="H19" s="18"/>
      <c r="I19" s="18"/>
    </row>
    <row r="20" customFormat="false" ht="15" hidden="false" customHeight="true" outlineLevel="0" collapsed="false">
      <c r="A20" s="18"/>
      <c r="B20" s="45" t="s">
        <v>55</v>
      </c>
      <c r="C20" s="46" t="n">
        <f aca="false">SUMIF('RFQ Tracker'!R12:R511,"&gt;0")</f>
        <v>1284160</v>
      </c>
      <c r="D20" s="18"/>
      <c r="E20" s="18"/>
      <c r="F20" s="18"/>
      <c r="G20" s="18"/>
      <c r="H20" s="18"/>
      <c r="I20" s="18"/>
    </row>
    <row r="21" customFormat="false" ht="15" hidden="false" customHeight="true" outlineLevel="0" collapsed="false">
      <c r="A21" s="18"/>
      <c r="B21" s="43" t="s">
        <v>56</v>
      </c>
      <c r="C21" s="44" t="n">
        <f aca="false">SUMIF('RFQ Tracker'!T12:T511,"&gt;0")</f>
        <v>42840</v>
      </c>
      <c r="D21" s="18"/>
      <c r="E21" s="18"/>
      <c r="F21" s="18"/>
      <c r="G21" s="18"/>
      <c r="H21" s="18"/>
      <c r="I21" s="18"/>
    </row>
    <row r="22" customFormat="false" ht="15" hidden="false" customHeight="true" outlineLevel="0" collapsed="false">
      <c r="A22" s="18"/>
      <c r="B22" s="45" t="s">
        <v>57</v>
      </c>
      <c r="C22" s="47" t="n">
        <f aca="false">COUNTIF('RFQ Tracker'!I12:I511,"Y")</f>
        <v>13</v>
      </c>
      <c r="D22" s="18"/>
      <c r="E22" s="18"/>
      <c r="F22" s="18"/>
      <c r="G22" s="18"/>
      <c r="H22" s="18"/>
      <c r="I22" s="18"/>
    </row>
    <row r="23" customFormat="false" ht="15" hidden="false" customHeight="true" outlineLevel="0" collapsed="false">
      <c r="A23" s="18"/>
      <c r="B23" s="43" t="s">
        <v>58</v>
      </c>
      <c r="C23" s="48" t="n">
        <f aca="false">COUNTIFS('RFQ Tracker'!I12:I511,"N",'RFQ Tracker'!Z12:Z511,"Closed")</f>
        <v>24</v>
      </c>
      <c r="D23" s="18"/>
      <c r="E23" s="18"/>
      <c r="F23" s="18"/>
      <c r="G23" s="18"/>
      <c r="H23" s="18"/>
      <c r="I23" s="18"/>
    </row>
    <row r="24" customFormat="false" ht="15" hidden="false" customHeight="true" outlineLevel="0" collapsed="false">
      <c r="A24" s="18"/>
      <c r="B24" s="45" t="s">
        <v>59</v>
      </c>
      <c r="C24" s="49" t="n">
        <f aca="false">IFERROR(COUNTIF('RFQ Tracker'!T12:T511,"&lt;0")/COUNTIFS('RFQ Tracker'!Z12:Z511,"Closed",'RFQ Tracker'!T12:T511,"&lt;&gt;"),0)</f>
        <v>0.09375</v>
      </c>
      <c r="D24" s="18"/>
      <c r="E24" s="18"/>
      <c r="F24" s="18"/>
      <c r="G24" s="18"/>
      <c r="H24" s="18"/>
      <c r="I24" s="18"/>
    </row>
    <row r="25" customFormat="false" ht="15" hidden="false" customHeight="true" outlineLevel="0" collapsed="false">
      <c r="A25" s="18"/>
      <c r="B25" s="18"/>
      <c r="C25" s="18"/>
      <c r="D25" s="18"/>
      <c r="E25" s="18"/>
      <c r="F25" s="18"/>
      <c r="G25" s="18"/>
      <c r="H25" s="18"/>
      <c r="I25" s="18"/>
    </row>
    <row r="26" customFormat="false" ht="15" hidden="false" customHeight="true" outlineLevel="0" collapsed="false">
      <c r="A26" s="18"/>
      <c r="B26" s="21" t="s">
        <v>60</v>
      </c>
      <c r="C26" s="18"/>
      <c r="D26" s="18"/>
      <c r="E26" s="18"/>
      <c r="F26" s="18"/>
      <c r="G26" s="18"/>
      <c r="H26" s="18"/>
      <c r="I26" s="18"/>
    </row>
    <row r="27" customFormat="false" ht="15" hidden="false" customHeight="true" outlineLevel="0" collapsed="false">
      <c r="A27" s="18"/>
      <c r="B27" s="50" t="s">
        <v>61</v>
      </c>
      <c r="C27" s="50" t="s">
        <v>62</v>
      </c>
      <c r="D27" s="18"/>
      <c r="E27" s="18"/>
      <c r="F27" s="18"/>
      <c r="G27" s="18"/>
      <c r="H27" s="18"/>
      <c r="I27" s="18"/>
    </row>
    <row r="28" customFormat="false" ht="15" hidden="false" customHeight="true" outlineLevel="0" collapsed="false">
      <c r="A28" s="18"/>
      <c r="B28" s="41" t="s">
        <v>63</v>
      </c>
      <c r="C28" s="51" t="n">
        <f aca="false">IFERROR(AVERAGEIFS('RFQ Tracker'!X12:X511,'RFQ Tracker'!G12:G511,"Machined Parts",'RFQ Tracker'!X12:X511,"&gt;0"),"-")</f>
        <v>37.6</v>
      </c>
      <c r="D28" s="18"/>
      <c r="E28" s="18"/>
      <c r="F28" s="18"/>
      <c r="G28" s="18"/>
      <c r="H28" s="18"/>
      <c r="I28" s="18"/>
    </row>
    <row r="29" customFormat="false" ht="15" hidden="false" customHeight="true" outlineLevel="0" collapsed="false">
      <c r="A29" s="18"/>
      <c r="B29" s="40" t="s">
        <v>64</v>
      </c>
      <c r="C29" s="52" t="n">
        <f aca="false">IFERROR(AVERAGEIFS('RFQ Tracker'!X12:X511,'RFQ Tracker'!G12:G511,"Fasteners",'RFQ Tracker'!X12:X511,"&gt;0"),"-")</f>
        <v>35</v>
      </c>
      <c r="D29" s="18"/>
      <c r="E29" s="18"/>
      <c r="F29" s="18"/>
      <c r="G29" s="18"/>
      <c r="H29" s="18"/>
      <c r="I29" s="18"/>
    </row>
    <row r="30" customFormat="false" ht="15" hidden="false" customHeight="true" outlineLevel="0" collapsed="false">
      <c r="A30" s="18"/>
      <c r="B30" s="41" t="s">
        <v>65</v>
      </c>
      <c r="C30" s="51" t="n">
        <f aca="false">IFERROR(AVERAGEIFS('RFQ Tracker'!X12:X511,'RFQ Tracker'!G12:G511,"Composites",'RFQ Tracker'!X12:X511,"&gt;0"),"-")</f>
        <v>40</v>
      </c>
      <c r="D30" s="18"/>
      <c r="E30" s="18"/>
      <c r="F30" s="18"/>
      <c r="G30" s="18"/>
      <c r="H30" s="18"/>
      <c r="I30" s="18"/>
    </row>
    <row r="31" customFormat="false" ht="15" hidden="false" customHeight="true" outlineLevel="0" collapsed="false">
      <c r="A31" s="18"/>
      <c r="B31" s="40" t="s">
        <v>66</v>
      </c>
      <c r="C31" s="52" t="n">
        <f aca="false">IFERROR(AVERAGEIFS('RFQ Tracker'!X12:X511,'RFQ Tracker'!G12:G511,"Bearings",'RFQ Tracker'!X12:X511,"&gt;0"),"-")</f>
        <v>34</v>
      </c>
      <c r="D31" s="18"/>
      <c r="E31" s="18"/>
      <c r="F31" s="18"/>
      <c r="G31" s="18"/>
      <c r="H31" s="18"/>
      <c r="I31" s="18"/>
    </row>
    <row r="32" customFormat="false" ht="15" hidden="false" customHeight="true" outlineLevel="0" collapsed="false">
      <c r="A32" s="18"/>
      <c r="B32" s="41" t="s">
        <v>67</v>
      </c>
      <c r="C32" s="51" t="n">
        <f aca="false">IFERROR(AVERAGEIFS('RFQ Tracker'!X12:X511,'RFQ Tracker'!G12:G511,"Raw Material",'RFQ Tracker'!X12:X511,"&gt;0"),"-")</f>
        <v>39</v>
      </c>
      <c r="D32" s="18"/>
      <c r="E32" s="18"/>
      <c r="F32" s="18"/>
      <c r="G32" s="18"/>
      <c r="H32" s="18"/>
      <c r="I32" s="18"/>
    </row>
    <row r="33" customFormat="false" ht="15" hidden="false" customHeight="true" outlineLevel="0" collapsed="false">
      <c r="A33" s="18"/>
      <c r="B33" s="40" t="s">
        <v>68</v>
      </c>
      <c r="C33" s="52" t="n">
        <f aca="false">IFERROR(AVERAGEIFS('RFQ Tracker'!X12:X511,'RFQ Tracker'!G12:G511,"Actuation",'RFQ Tracker'!X12:X511,"&gt;0"),"-")</f>
        <v>40</v>
      </c>
      <c r="D33" s="18"/>
      <c r="E33" s="18"/>
      <c r="F33" s="18"/>
      <c r="G33" s="18"/>
      <c r="H33" s="18"/>
      <c r="I33" s="18"/>
    </row>
    <row r="34" customFormat="false" ht="15" hidden="false" customHeight="true" outlineLevel="0" collapsed="false">
      <c r="A34" s="18"/>
      <c r="B34" s="41" t="s">
        <v>69</v>
      </c>
      <c r="C34" s="51" t="n">
        <f aca="false">IFERROR(AVERAGEIFS('RFQ Tracker'!X12:X511,'RFQ Tracker'!G12:G511,"Forgings",'RFQ Tracker'!X12:X511,"&gt;0"),"-")</f>
        <v>38.3333333333333</v>
      </c>
      <c r="D34" s="18"/>
      <c r="E34" s="18"/>
      <c r="F34" s="18"/>
      <c r="G34" s="18"/>
      <c r="H34" s="18"/>
      <c r="I34" s="18"/>
    </row>
    <row r="35" customFormat="false" ht="15" hidden="false" customHeight="true" outlineLevel="0" collapsed="false">
      <c r="A35" s="18"/>
      <c r="B35" s="40" t="s">
        <v>70</v>
      </c>
      <c r="C35" s="52" t="str">
        <f aca="false">IFERROR(AVERAGEIFS('RFQ Tracker'!X12:X511,'RFQ Tracker'!G12:G511,"Seals/Gaskets",'RFQ Tracker'!X12:X511,"&gt;0"),"-")</f>
        <v>-</v>
      </c>
      <c r="D35" s="18"/>
      <c r="E35" s="18"/>
      <c r="F35" s="18"/>
      <c r="G35" s="18"/>
      <c r="H35" s="18"/>
      <c r="I35" s="18"/>
    </row>
    <row r="36" customFormat="false" ht="15" hidden="false" customHeight="true" outlineLevel="0" collapsed="false">
      <c r="A36" s="18"/>
      <c r="B36" s="18"/>
      <c r="C36" s="18"/>
      <c r="D36" s="18"/>
      <c r="E36" s="18"/>
      <c r="F36" s="18"/>
      <c r="G36" s="18"/>
      <c r="H36" s="18"/>
      <c r="I36" s="18"/>
    </row>
    <row r="37" customFormat="false" ht="15" hidden="false" customHeight="true" outlineLevel="0" collapsed="false">
      <c r="A37" s="18"/>
      <c r="B37" s="53" t="s">
        <v>71</v>
      </c>
      <c r="C37" s="53"/>
      <c r="D37" s="53"/>
      <c r="E37" s="53"/>
      <c r="F37" s="53"/>
      <c r="G37" s="53"/>
      <c r="H37" s="53"/>
      <c r="I37" s="18"/>
    </row>
    <row r="38" customFormat="false" ht="15" hidden="false" customHeight="true" outlineLevel="0" collapsed="false">
      <c r="A38" s="18"/>
      <c r="B38" s="53" t="s">
        <v>72</v>
      </c>
      <c r="C38" s="53"/>
      <c r="D38" s="53"/>
      <c r="E38" s="53"/>
      <c r="F38" s="53"/>
      <c r="G38" s="53"/>
      <c r="H38" s="53"/>
      <c r="I38" s="18"/>
    </row>
    <row r="39" customFormat="false" ht="15" hidden="false" customHeight="true" outlineLevel="0" collapsed="false">
      <c r="A39" s="18"/>
      <c r="B39" s="18"/>
      <c r="C39" s="18"/>
      <c r="D39" s="18"/>
      <c r="E39" s="18"/>
      <c r="F39" s="18"/>
      <c r="G39" s="18"/>
      <c r="H39" s="18"/>
      <c r="I39" s="18"/>
    </row>
    <row r="40" customFormat="false" ht="15" hidden="false" customHeight="true" outlineLevel="0" collapsed="false">
      <c r="A40" s="18"/>
      <c r="B40" s="18"/>
      <c r="C40" s="18"/>
      <c r="D40" s="18"/>
      <c r="E40" s="18"/>
      <c r="F40" s="18"/>
      <c r="G40" s="18"/>
      <c r="H40" s="18"/>
      <c r="I40" s="18"/>
    </row>
    <row r="41" customFormat="false" ht="15" hidden="false" customHeight="true" outlineLevel="0" collapsed="false">
      <c r="A41" s="18"/>
      <c r="B41" s="18"/>
      <c r="C41" s="18"/>
      <c r="D41" s="18"/>
      <c r="E41" s="18"/>
      <c r="F41" s="18"/>
      <c r="G41" s="18"/>
      <c r="H41" s="18"/>
      <c r="I41" s="18"/>
    </row>
    <row r="42" customFormat="false" ht="15" hidden="false" customHeight="true" outlineLevel="0" collapsed="false">
      <c r="A42" s="18"/>
      <c r="B42" s="18"/>
      <c r="C42" s="18"/>
      <c r="D42" s="18"/>
      <c r="E42" s="18"/>
      <c r="F42" s="18"/>
      <c r="G42" s="18"/>
      <c r="H42" s="18"/>
      <c r="I42" s="18"/>
    </row>
    <row r="43" customFormat="false" ht="15" hidden="false" customHeight="true" outlineLevel="0" collapsed="false">
      <c r="A43" s="18"/>
      <c r="B43" s="18"/>
      <c r="C43" s="18"/>
      <c r="D43" s="18"/>
      <c r="E43" s="18"/>
      <c r="F43" s="18"/>
      <c r="G43" s="18"/>
      <c r="H43" s="18"/>
      <c r="I43" s="18"/>
    </row>
    <row r="44" customFormat="false" ht="15" hidden="false" customHeight="true" outlineLevel="0" collapsed="false">
      <c r="A44" s="18"/>
      <c r="B44" s="18"/>
      <c r="C44" s="18"/>
      <c r="D44" s="18"/>
      <c r="E44" s="18"/>
      <c r="F44" s="18"/>
      <c r="G44" s="18"/>
      <c r="H44" s="18"/>
      <c r="I44" s="18"/>
    </row>
    <row r="45" customFormat="false" ht="15" hidden="false" customHeight="true" outlineLevel="0" collapsed="false">
      <c r="A45" s="18"/>
      <c r="B45" s="18"/>
      <c r="C45" s="18"/>
      <c r="D45" s="18"/>
      <c r="E45" s="18"/>
      <c r="F45" s="18"/>
      <c r="G45" s="18"/>
      <c r="H45" s="18"/>
      <c r="I45" s="18"/>
    </row>
    <row r="46" customFormat="false" ht="15" hidden="false" customHeight="true" outlineLevel="0" collapsed="false">
      <c r="A46" s="18"/>
      <c r="B46" s="18"/>
      <c r="C46" s="18"/>
      <c r="D46" s="18"/>
      <c r="E46" s="18"/>
      <c r="F46" s="18"/>
      <c r="G46" s="18"/>
      <c r="H46" s="18"/>
      <c r="I46" s="18"/>
    </row>
    <row r="47" customFormat="false" ht="15" hidden="false" customHeight="true" outlineLevel="0" collapsed="false">
      <c r="A47" s="18"/>
      <c r="B47" s="18"/>
      <c r="C47" s="18"/>
      <c r="D47" s="18"/>
      <c r="E47" s="18"/>
      <c r="F47" s="18"/>
      <c r="G47" s="18"/>
      <c r="H47" s="18"/>
      <c r="I47" s="18"/>
    </row>
    <row r="48" customFormat="false" ht="15" hidden="false" customHeight="true" outlineLevel="0" collapsed="false">
      <c r="A48" s="18"/>
      <c r="B48" s="18"/>
      <c r="C48" s="18"/>
      <c r="D48" s="18"/>
      <c r="E48" s="18"/>
      <c r="F48" s="18"/>
      <c r="G48" s="18"/>
      <c r="H48" s="18"/>
      <c r="I48" s="18"/>
    </row>
    <row r="49" customFormat="false" ht="15" hidden="false" customHeight="true" outlineLevel="0" collapsed="false">
      <c r="A49" s="18"/>
      <c r="B49" s="18"/>
      <c r="C49" s="18"/>
      <c r="D49" s="18"/>
      <c r="E49" s="18"/>
      <c r="F49" s="18"/>
      <c r="G49" s="18"/>
      <c r="H49" s="18"/>
      <c r="I49" s="18"/>
    </row>
    <row r="50" customFormat="false" ht="15" hidden="false" customHeight="true" outlineLevel="0" collapsed="false">
      <c r="A50" s="18"/>
      <c r="B50" s="18"/>
      <c r="C50" s="18"/>
      <c r="D50" s="18"/>
      <c r="E50" s="18"/>
      <c r="F50" s="18"/>
      <c r="G50" s="18"/>
      <c r="H50" s="18"/>
      <c r="I50" s="18"/>
    </row>
    <row r="51" customFormat="false" ht="15" hidden="false" customHeight="true" outlineLevel="0" collapsed="false">
      <c r="A51" s="18"/>
      <c r="B51" s="18"/>
      <c r="C51" s="18"/>
      <c r="D51" s="18"/>
      <c r="E51" s="18"/>
      <c r="F51" s="18"/>
      <c r="G51" s="18"/>
      <c r="H51" s="18"/>
      <c r="I51" s="18"/>
    </row>
    <row r="52" customFormat="false" ht="15" hidden="false" customHeight="true" outlineLevel="0" collapsed="false">
      <c r="A52" s="18"/>
      <c r="B52" s="18"/>
      <c r="C52" s="18"/>
      <c r="D52" s="18"/>
      <c r="E52" s="18"/>
      <c r="F52" s="18"/>
      <c r="G52" s="18"/>
      <c r="H52" s="18"/>
      <c r="I52" s="18"/>
    </row>
    <row r="53" customFormat="false" ht="15" hidden="false" customHeight="true" outlineLevel="0" collapsed="false">
      <c r="A53" s="18"/>
      <c r="B53" s="18"/>
      <c r="C53" s="18"/>
      <c r="D53" s="18"/>
      <c r="E53" s="18"/>
      <c r="F53" s="18"/>
      <c r="G53" s="18"/>
      <c r="H53" s="18"/>
      <c r="I53" s="18"/>
    </row>
    <row r="54" customFormat="false" ht="15" hidden="false" customHeight="true" outlineLevel="0" collapsed="false">
      <c r="A54" s="18"/>
      <c r="B54" s="18"/>
      <c r="C54" s="18"/>
      <c r="D54" s="18"/>
      <c r="E54" s="18"/>
      <c r="F54" s="18"/>
      <c r="G54" s="18"/>
      <c r="H54" s="18"/>
      <c r="I54" s="18"/>
    </row>
    <row r="55" customFormat="false" ht="15" hidden="false" customHeight="true" outlineLevel="0" collapsed="false">
      <c r="A55" s="18"/>
      <c r="B55" s="18"/>
      <c r="C55" s="18"/>
      <c r="D55" s="18"/>
      <c r="E55" s="18"/>
      <c r="F55" s="18"/>
      <c r="G55" s="18"/>
      <c r="H55" s="18"/>
      <c r="I55" s="18"/>
    </row>
    <row r="56" customFormat="false" ht="15" hidden="false" customHeight="true" outlineLevel="0" collapsed="false">
      <c r="A56" s="18"/>
      <c r="B56" s="18"/>
      <c r="C56" s="18"/>
      <c r="D56" s="18"/>
      <c r="E56" s="18"/>
      <c r="F56" s="18"/>
      <c r="G56" s="18"/>
      <c r="H56" s="18"/>
      <c r="I56" s="18"/>
    </row>
    <row r="57" customFormat="false" ht="15" hidden="false" customHeight="true" outlineLevel="0" collapsed="false">
      <c r="A57" s="18"/>
      <c r="B57" s="18"/>
      <c r="C57" s="18"/>
      <c r="D57" s="18"/>
      <c r="E57" s="18"/>
      <c r="F57" s="18"/>
      <c r="G57" s="18"/>
      <c r="H57" s="18"/>
      <c r="I57" s="18"/>
    </row>
    <row r="58" customFormat="false" ht="15" hidden="false" customHeight="true" outlineLevel="0" collapsed="false">
      <c r="A58" s="18"/>
      <c r="B58" s="18"/>
      <c r="C58" s="18"/>
      <c r="D58" s="18"/>
      <c r="E58" s="18"/>
      <c r="F58" s="18"/>
      <c r="G58" s="18"/>
      <c r="H58" s="18"/>
      <c r="I58" s="18"/>
    </row>
    <row r="59" customFormat="false" ht="15" hidden="false" customHeight="true" outlineLevel="0" collapsed="false">
      <c r="A59" s="18"/>
      <c r="B59" s="18"/>
      <c r="C59" s="18"/>
      <c r="D59" s="18"/>
      <c r="E59" s="18"/>
      <c r="F59" s="18"/>
      <c r="G59" s="18"/>
      <c r="H59" s="18"/>
      <c r="I59" s="18"/>
    </row>
  </sheetData>
  <mergeCells count="5">
    <mergeCell ref="B2:H2"/>
    <mergeCell ref="B3:H3"/>
    <mergeCell ref="B15:G15"/>
    <mergeCell ref="B37:H37"/>
    <mergeCell ref="B38:H38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2E6DA4"/>
    <pageSetUpPr fitToPage="false"/>
  </sheetPr>
  <dimension ref="B1:AB511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2" ySplit="11" topLeftCell="C12" activePane="bottomRight" state="frozen"/>
      <selection pane="topLeft" activeCell="A1" activeCellId="0" sqref="A1"/>
      <selection pane="topRight" activeCell="C1" activeCellId="0" sqref="C1"/>
      <selection pane="bottomLeft" activeCell="A12" activeCellId="0" sqref="A12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2" min="2" style="1" width="4"/>
    <col collapsed="false" customWidth="true" hidden="false" outlineLevel="0" max="4" min="3" style="1" width="16"/>
    <col collapsed="false" customWidth="true" hidden="false" outlineLevel="0" max="5" min="5" style="1" width="26"/>
    <col collapsed="false" customWidth="true" hidden="false" outlineLevel="0" max="7" min="6" style="1" width="16"/>
    <col collapsed="false" customWidth="true" hidden="false" outlineLevel="0" max="8" min="8" style="1" width="11"/>
    <col collapsed="false" customWidth="true" hidden="false" outlineLevel="0" max="9" min="9" style="1" width="9"/>
    <col collapsed="false" customWidth="true" hidden="false" outlineLevel="0" max="10" min="10" style="1" width="20"/>
    <col collapsed="false" customWidth="true" hidden="false" outlineLevel="0" max="12" min="11" style="1" width="14"/>
    <col collapsed="false" customWidth="true" hidden="false" outlineLevel="0" max="13" min="13" style="1" width="11"/>
    <col collapsed="false" customWidth="true" hidden="false" outlineLevel="0" max="14" min="14" style="1" width="9"/>
    <col collapsed="false" customWidth="true" hidden="false" outlineLevel="0" max="15" min="15" style="1" width="11"/>
    <col collapsed="false" customWidth="true" hidden="false" outlineLevel="0" max="16" min="16" style="1" width="10"/>
    <col collapsed="false" customWidth="true" hidden="false" outlineLevel="0" max="20" min="17" style="1" width="14"/>
    <col collapsed="false" customWidth="true" hidden="false" outlineLevel="0" max="21" min="21" style="1" width="13"/>
    <col collapsed="false" customWidth="true" hidden="false" outlineLevel="0" max="22" min="22" style="1" width="20"/>
    <col collapsed="false" customWidth="true" hidden="false" outlineLevel="0" max="23" min="23" style="1" width="14"/>
    <col collapsed="false" customWidth="true" hidden="false" outlineLevel="0" max="24" min="24" style="1" width="12"/>
    <col collapsed="false" customWidth="true" hidden="false" outlineLevel="0" max="25" min="25" style="1" width="10"/>
    <col collapsed="false" customWidth="true" hidden="false" outlineLevel="0" max="26" min="26" style="1" width="13"/>
    <col collapsed="false" customWidth="true" hidden="false" outlineLevel="0" max="27" min="27" style="1" width="32"/>
  </cols>
  <sheetData>
    <row r="1" customFormat="false" ht="7.5" hidden="false" customHeight="true" outlineLevel="0" collapsed="false"/>
    <row r="2" customFormat="false" ht="42" hidden="false" customHeight="true" outlineLevel="0" collapsed="false">
      <c r="B2" s="54" t="s">
        <v>73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</row>
    <row r="3" customFormat="false" ht="7.5" hidden="false" customHeight="true" outlineLevel="0" collapsed="false"/>
    <row r="4" customFormat="false" ht="21.75" hidden="false" customHeight="true" outlineLevel="0" collapsed="false">
      <c r="B4" s="55" t="s">
        <v>74</v>
      </c>
      <c r="C4" s="55"/>
      <c r="D4" s="56" t="s">
        <v>35</v>
      </c>
      <c r="E4" s="56"/>
      <c r="F4" s="57" t="s">
        <v>75</v>
      </c>
      <c r="G4" s="57"/>
      <c r="H4" s="58" t="s">
        <v>36</v>
      </c>
      <c r="I4" s="58"/>
      <c r="J4" s="59" t="s">
        <v>76</v>
      </c>
      <c r="K4" s="59"/>
      <c r="L4" s="60" t="s">
        <v>37</v>
      </c>
      <c r="M4" s="60"/>
      <c r="N4" s="61" t="s">
        <v>77</v>
      </c>
      <c r="O4" s="61"/>
    </row>
    <row r="5" customFormat="false" ht="31.5" hidden="false" customHeight="true" outlineLevel="0" collapsed="false">
      <c r="B5" s="62" t="n">
        <f aca="false">COUNTIF(Z12:Z511,"Open")</f>
        <v>25</v>
      </c>
      <c r="C5" s="62"/>
      <c r="D5" s="63" t="n">
        <f aca="false">COUNTIFS(Z12:Z511,"Open",L12:L511,"&lt;"&amp;Settings!$C$13)</f>
        <v>3</v>
      </c>
      <c r="E5" s="63"/>
      <c r="F5" s="64" t="n">
        <f aca="false">COUNTIFS(Z12:Z511,"Open",L12:L511,"&gt;="&amp;Settings!$C$13,L12:L511,"&lt;="&amp;(Settings!$C$13+Settings!C9))</f>
        <v>5</v>
      </c>
      <c r="G5" s="64"/>
      <c r="H5" s="65" t="str">
        <f aca="false">IFERROR(TEXT(ROUND(AVERAGEIF(X12:X511,"&gt;"&amp;0,X12:X511),1),"0.0")&amp;" days","—")</f>
        <v>38.2 days</v>
      </c>
      <c r="I5" s="65"/>
      <c r="J5" s="66" t="str">
        <f aca="false">IFERROR(TEXT(COUNTIF(O12:O511,"Y")/MAX(COUNTA(C12:C511),1),"0%"),"—")</f>
        <v>73%</v>
      </c>
      <c r="K5" s="66"/>
      <c r="L5" s="67" t="n">
        <f aca="false">IFERROR(SUMIFS(T12:T511,Z12:Z511,"Closed"),0)</f>
        <v>14700</v>
      </c>
      <c r="M5" s="67"/>
      <c r="N5" s="68" t="str">
        <f aca="false">IFERROR(TEXT(COUNTIFS(I12:I511,"Y",Z12:Z511,"Closed")/MAX(COUNTIF(Z12:Z511,"Closed"),1),"0%"),"—")</f>
        <v>25%</v>
      </c>
      <c r="O5" s="68"/>
    </row>
    <row r="6" customFormat="false" ht="6" hidden="false" customHeight="true" outlineLevel="0" collapsed="false"/>
    <row r="7" customFormat="false" ht="21.75" hidden="false" customHeight="true" outlineLevel="0" collapsed="false">
      <c r="B7" s="69" t="s">
        <v>40</v>
      </c>
      <c r="C7" s="69"/>
      <c r="D7" s="70" t="s">
        <v>41</v>
      </c>
      <c r="E7" s="70"/>
      <c r="F7" s="71" t="s">
        <v>42</v>
      </c>
      <c r="G7" s="71"/>
      <c r="H7" s="72" t="s">
        <v>43</v>
      </c>
      <c r="I7" s="72"/>
      <c r="J7" s="59" t="s">
        <v>78</v>
      </c>
      <c r="K7" s="59"/>
      <c r="L7" s="61" t="s">
        <v>79</v>
      </c>
      <c r="M7" s="61"/>
      <c r="N7" s="73" t="s">
        <v>80</v>
      </c>
      <c r="O7" s="73"/>
    </row>
    <row r="8" customFormat="false" ht="31.5" hidden="false" customHeight="true" outlineLevel="0" collapsed="false">
      <c r="B8" s="74" t="n">
        <f aca="false">COUNTIF(H12:H511,"Critical")</f>
        <v>17</v>
      </c>
      <c r="C8" s="74"/>
      <c r="D8" s="75" t="n">
        <f aca="false">COUNTIF(H12:H511,"High")</f>
        <v>21</v>
      </c>
      <c r="E8" s="75"/>
      <c r="F8" s="76" t="n">
        <f aca="false">COUNTIF(H12:H511,"Medium")</f>
        <v>12</v>
      </c>
      <c r="G8" s="76"/>
      <c r="H8" s="77" t="n">
        <f aca="false">COUNTIF(H12:H511,"Low")</f>
        <v>10</v>
      </c>
      <c r="I8" s="77"/>
      <c r="J8" s="66" t="n">
        <f aca="false">COUNTIF(Z12:Z511,"Closed")</f>
        <v>32</v>
      </c>
      <c r="K8" s="66"/>
      <c r="L8" s="68" t="n">
        <f aca="false">COUNTIF(Z12:Z511,"Cancelled")</f>
        <v>2</v>
      </c>
      <c r="M8" s="68"/>
      <c r="N8" s="78" t="n">
        <f aca="false">COUNTIF(Y12:Y511,"No")</f>
        <v>0</v>
      </c>
      <c r="O8" s="78"/>
    </row>
    <row r="9" customFormat="false" ht="6" hidden="false" customHeight="true" outlineLevel="0" collapsed="false"/>
    <row r="10" customFormat="false" ht="7.5" hidden="false" customHeight="true" outlineLevel="0" collapsed="false"/>
    <row r="11" customFormat="false" ht="30" hidden="false" customHeight="true" outlineLevel="0" collapsed="false">
      <c r="B11" s="79" t="s">
        <v>81</v>
      </c>
      <c r="C11" s="79" t="s">
        <v>47</v>
      </c>
      <c r="D11" s="79" t="s">
        <v>82</v>
      </c>
      <c r="E11" s="79" t="s">
        <v>48</v>
      </c>
      <c r="F11" s="79" t="s">
        <v>83</v>
      </c>
      <c r="G11" s="79" t="s">
        <v>84</v>
      </c>
      <c r="H11" s="79" t="s">
        <v>50</v>
      </c>
      <c r="I11" s="79" t="s">
        <v>85</v>
      </c>
      <c r="J11" s="79" t="s">
        <v>86</v>
      </c>
      <c r="K11" s="79" t="s">
        <v>87</v>
      </c>
      <c r="L11" s="79" t="s">
        <v>88</v>
      </c>
      <c r="M11" s="79" t="s">
        <v>89</v>
      </c>
      <c r="N11" s="79" t="s">
        <v>90</v>
      </c>
      <c r="O11" s="79" t="s">
        <v>91</v>
      </c>
      <c r="P11" s="79" t="s">
        <v>92</v>
      </c>
      <c r="Q11" s="79" t="s">
        <v>93</v>
      </c>
      <c r="R11" s="79" t="s">
        <v>94</v>
      </c>
      <c r="S11" s="79" t="s">
        <v>95</v>
      </c>
      <c r="T11" s="79" t="s">
        <v>96</v>
      </c>
      <c r="U11" s="79" t="s">
        <v>97</v>
      </c>
      <c r="V11" s="79" t="s">
        <v>98</v>
      </c>
      <c r="W11" s="79" t="s">
        <v>99</v>
      </c>
      <c r="X11" s="79" t="s">
        <v>100</v>
      </c>
      <c r="Y11" s="79" t="s">
        <v>101</v>
      </c>
      <c r="Z11" s="79" t="s">
        <v>46</v>
      </c>
      <c r="AA11" s="79" t="s">
        <v>102</v>
      </c>
      <c r="AB11" s="80" t="s">
        <v>103</v>
      </c>
    </row>
    <row r="12" customFormat="false" ht="15.75" hidden="false" customHeight="true" outlineLevel="0" collapsed="false">
      <c r="B12" s="81" t="n">
        <f aca="false">IF(C12&lt;&gt;"",ROW()-11,"")</f>
        <v>1</v>
      </c>
      <c r="C12" s="82" t="s">
        <v>104</v>
      </c>
      <c r="D12" s="82" t="s">
        <v>105</v>
      </c>
      <c r="E12" s="82" t="s">
        <v>106</v>
      </c>
      <c r="F12" s="82" t="s">
        <v>107</v>
      </c>
      <c r="G12" s="82" t="s">
        <v>63</v>
      </c>
      <c r="H12" s="83" t="s">
        <v>108</v>
      </c>
      <c r="I12" s="83" t="s">
        <v>109</v>
      </c>
      <c r="J12" s="82" t="s">
        <v>110</v>
      </c>
      <c r="K12" s="84" t="n">
        <v>46038</v>
      </c>
      <c r="L12" s="84" t="n">
        <v>46068</v>
      </c>
      <c r="M12" s="81" t="str">
        <f aca="false">IF(AND(L12&lt;&gt;"",Z12="Open"),L12-Settings!$C$13,"")</f>
        <v/>
      </c>
      <c r="N12" s="81" t="str">
        <f aca="false">IF(Z12&lt;&gt;"Open","",IF(L12="","",IF(L12&lt;Settings!$C$13,"OVERDUE",IF(L12&lt;=Settings!$C$13+Settings!C9,"AT RISK","OK"))))</f>
        <v/>
      </c>
      <c r="O12" s="83" t="s">
        <v>111</v>
      </c>
      <c r="P12" s="81" t="n">
        <v>3</v>
      </c>
      <c r="Q12" s="85" t="n">
        <v>13000</v>
      </c>
      <c r="R12" s="85" t="n">
        <v>12400</v>
      </c>
      <c r="S12" s="85" t="n">
        <v>13800</v>
      </c>
      <c r="T12" s="85" t="n">
        <f aca="false">IF(AND(Q12&gt;0,R12&gt;0),Q12-R12,"")</f>
        <v>600</v>
      </c>
      <c r="U12" s="86" t="n">
        <f aca="false">IFERROR(IF(AND(Q12&gt;0,R12&gt;0),(Q12-R12)/Q12,""),"")</f>
        <v>0.0461538461538462</v>
      </c>
      <c r="V12" s="82" t="s">
        <v>110</v>
      </c>
      <c r="W12" s="84" t="n">
        <v>46078</v>
      </c>
      <c r="X12" s="81" t="n">
        <f aca="false">IF(AND(K12&lt;&gt;"",W12&lt;&gt;""),W12-K12,"")</f>
        <v>40</v>
      </c>
      <c r="Y12" s="81" t="str">
        <f aca="false">IF(AND(X12&lt;&gt;"",X12&gt;0),IF(X12&lt;=Settings!C8,"Yes","No"),"")</f>
        <v>Yes</v>
      </c>
      <c r="Z12" s="83" t="s">
        <v>112</v>
      </c>
      <c r="AA12" s="87" t="s">
        <v>113</v>
      </c>
      <c r="AB12" s="88" t="str">
        <f aca="false">IF(Z12&lt;&gt;"Closed","",IF(P12&gt;=Settings!$C$10,"OK","LOW"))</f>
        <v>LOW</v>
      </c>
    </row>
    <row r="13" customFormat="false" ht="15.75" hidden="false" customHeight="true" outlineLevel="0" collapsed="false">
      <c r="B13" s="89" t="n">
        <f aca="false">IF(C13&lt;&gt;"",ROW()-11,"")</f>
        <v>2</v>
      </c>
      <c r="C13" s="90" t="s">
        <v>114</v>
      </c>
      <c r="D13" s="90" t="s">
        <v>115</v>
      </c>
      <c r="E13" s="90" t="s">
        <v>116</v>
      </c>
      <c r="F13" s="90" t="s">
        <v>117</v>
      </c>
      <c r="G13" s="90" t="s">
        <v>64</v>
      </c>
      <c r="H13" s="91" t="s">
        <v>118</v>
      </c>
      <c r="I13" s="91" t="s">
        <v>109</v>
      </c>
      <c r="J13" s="90" t="s">
        <v>119</v>
      </c>
      <c r="K13" s="92" t="n">
        <v>46045</v>
      </c>
      <c r="L13" s="92" t="n">
        <v>46073</v>
      </c>
      <c r="M13" s="89" t="str">
        <f aca="false">IF(AND(L13&lt;&gt;"",Z13="Open"),L13-Settings!$C$13,"")</f>
        <v/>
      </c>
      <c r="N13" s="89" t="str">
        <f aca="false">IF(Z13&lt;&gt;"Open","",IF(L13="","",IF(L13&lt;Settings!$C$13,"OVERDUE",IF(L13&lt;=Settings!$C$13+Settings!C9,"AT RISK","OK"))))</f>
        <v/>
      </c>
      <c r="O13" s="91" t="s">
        <v>111</v>
      </c>
      <c r="P13" s="89" t="n">
        <v>4</v>
      </c>
      <c r="Q13" s="93" t="n">
        <v>2000</v>
      </c>
      <c r="R13" s="93" t="n">
        <v>1850</v>
      </c>
      <c r="S13" s="93" t="n">
        <v>2100</v>
      </c>
      <c r="T13" s="93" t="n">
        <f aca="false">IF(AND(Q13&gt;0,R13&gt;0),Q13-R13,"")</f>
        <v>150</v>
      </c>
      <c r="U13" s="94" t="n">
        <f aca="false">IFERROR(IF(AND(Q13&gt;0,R13&gt;0),(Q13-R13)/Q13,""),"")</f>
        <v>0.075</v>
      </c>
      <c r="V13" s="90" t="s">
        <v>119</v>
      </c>
      <c r="W13" s="92" t="n">
        <v>46080</v>
      </c>
      <c r="X13" s="89" t="n">
        <f aca="false">IF(AND(K13&lt;&gt;"",W13&lt;&gt;""),W13-K13,"")</f>
        <v>35</v>
      </c>
      <c r="Y13" s="89" t="str">
        <f aca="false">IF(AND(X13&lt;&gt;"",X13&gt;0),IF(X13&lt;=Settings!C8,"Yes","No"),"")</f>
        <v>Yes</v>
      </c>
      <c r="Z13" s="91" t="s">
        <v>112</v>
      </c>
      <c r="AA13" s="95" t="s">
        <v>120</v>
      </c>
      <c r="AB13" s="88" t="str">
        <f aca="false">IF(Z13&lt;&gt;"Closed","",IF(P13&gt;=Settings!$C$10,"OK","LOW"))</f>
        <v>LOW</v>
      </c>
    </row>
    <row r="14" customFormat="false" ht="15.75" hidden="false" customHeight="true" outlineLevel="0" collapsed="false">
      <c r="B14" s="81" t="n">
        <f aca="false">IF(C14&lt;&gt;"",ROW()-11,"")</f>
        <v>3</v>
      </c>
      <c r="C14" s="82" t="s">
        <v>121</v>
      </c>
      <c r="D14" s="82" t="s">
        <v>122</v>
      </c>
      <c r="E14" s="82" t="s">
        <v>123</v>
      </c>
      <c r="F14" s="82" t="s">
        <v>124</v>
      </c>
      <c r="G14" s="82" t="s">
        <v>65</v>
      </c>
      <c r="H14" s="83" t="s">
        <v>125</v>
      </c>
      <c r="I14" s="83" t="s">
        <v>109</v>
      </c>
      <c r="J14" s="82" t="s">
        <v>126</v>
      </c>
      <c r="K14" s="84" t="n">
        <v>46053</v>
      </c>
      <c r="L14" s="84" t="n">
        <v>46088</v>
      </c>
      <c r="M14" s="81" t="n">
        <f aca="false">IF(AND(L14&lt;&gt;"",Z14="Open"),L14-Settings!$C$13,"")</f>
        <v>0</v>
      </c>
      <c r="N14" s="81" t="str">
        <f aca="false">IF(Z14&lt;&gt;"Open","",IF(L14="","",IF(L14&lt;Settings!$C$13,"OVERDUE",IF(L14&lt;=Settings!$C$13+Settings!C9,"AT RISK","OK"))))</f>
        <v>AT RISK</v>
      </c>
      <c r="O14" s="83" t="s">
        <v>111</v>
      </c>
      <c r="P14" s="81" t="n">
        <v>2</v>
      </c>
      <c r="Q14" s="85" t="n">
        <v>90000</v>
      </c>
      <c r="R14" s="85" t="n">
        <v>88500</v>
      </c>
      <c r="S14" s="85" t="n">
        <v>94200</v>
      </c>
      <c r="T14" s="85" t="n">
        <f aca="false">IF(AND(Q14&gt;0,R14&gt;0),Q14-R14,"")</f>
        <v>1500</v>
      </c>
      <c r="U14" s="86" t="n">
        <f aca="false">IFERROR(IF(AND(Q14&gt;0,R14&gt;0),(Q14-R14)/Q14,""),"")</f>
        <v>0.0166666666666667</v>
      </c>
      <c r="V14" s="82"/>
      <c r="W14" s="84"/>
      <c r="X14" s="81" t="str">
        <f aca="false">IF(AND(K14&lt;&gt;"",W14&lt;&gt;""),W14-K14,"")</f>
        <v/>
      </c>
      <c r="Y14" s="81" t="str">
        <f aca="false">IF(AND(X14&lt;&gt;"",X14&gt;0),IF(X14&lt;=Settings!C8,"Yes","No"),"")</f>
        <v/>
      </c>
      <c r="Z14" s="83" t="s">
        <v>127</v>
      </c>
      <c r="AA14" s="87" t="s">
        <v>128</v>
      </c>
      <c r="AB14" s="88" t="str">
        <f aca="false">IF(Z14&lt;&gt;"Closed","",IF(P14&gt;=Settings!$C$10,"OK","LOW"))</f>
        <v/>
      </c>
    </row>
    <row r="15" customFormat="false" ht="15.75" hidden="false" customHeight="true" outlineLevel="0" collapsed="false">
      <c r="B15" s="89" t="n">
        <f aca="false">IF(C15&lt;&gt;"",ROW()-11,"")</f>
        <v>4</v>
      </c>
      <c r="C15" s="90" t="s">
        <v>129</v>
      </c>
      <c r="D15" s="90" t="s">
        <v>130</v>
      </c>
      <c r="E15" s="90" t="s">
        <v>131</v>
      </c>
      <c r="F15" s="90" t="s">
        <v>132</v>
      </c>
      <c r="G15" s="90" t="s">
        <v>66</v>
      </c>
      <c r="H15" s="91" t="s">
        <v>108</v>
      </c>
      <c r="I15" s="91" t="s">
        <v>109</v>
      </c>
      <c r="J15" s="90" t="s">
        <v>133</v>
      </c>
      <c r="K15" s="92" t="n">
        <v>46058</v>
      </c>
      <c r="L15" s="92" t="n">
        <v>46081</v>
      </c>
      <c r="M15" s="89" t="n">
        <f aca="false">IF(AND(L15&lt;&gt;"",Z15="Open"),L15-Settings!$C$13,"")</f>
        <v>-7</v>
      </c>
      <c r="N15" s="89" t="str">
        <f aca="false">IF(Z15&lt;&gt;"Open","",IF(L15="","",IF(L15&lt;Settings!$C$13,"OVERDUE",IF(L15&lt;=Settings!$C$13+Settings!C9,"AT RISK","OK"))))</f>
        <v>OVERDUE</v>
      </c>
      <c r="O15" s="91" t="s">
        <v>109</v>
      </c>
      <c r="P15" s="89"/>
      <c r="Q15" s="93" t="n">
        <v>4500</v>
      </c>
      <c r="R15" s="93"/>
      <c r="S15" s="93"/>
      <c r="T15" s="93" t="str">
        <f aca="false">IF(AND(Q15&gt;0,R15&gt;0),Q15-R15,"")</f>
        <v/>
      </c>
      <c r="U15" s="94" t="str">
        <f aca="false">IFERROR(IF(AND(Q15&gt;0,R15&gt;0),(Q15-R15)/Q15,""),"")</f>
        <v/>
      </c>
      <c r="V15" s="90"/>
      <c r="W15" s="92"/>
      <c r="X15" s="89" t="str">
        <f aca="false">IF(AND(K15&lt;&gt;"",W15&lt;&gt;""),W15-K15,"")</f>
        <v/>
      </c>
      <c r="Y15" s="89" t="str">
        <f aca="false">IF(AND(X15&lt;&gt;"",X15&gt;0),IF(X15&lt;=Settings!C8,"Yes","No"),"")</f>
        <v/>
      </c>
      <c r="Z15" s="91" t="s">
        <v>127</v>
      </c>
      <c r="AA15" s="95" t="s">
        <v>134</v>
      </c>
      <c r="AB15" s="88" t="str">
        <f aca="false">IF(Z15&lt;&gt;"Closed","",IF(P15&gt;=Settings!$C$10,"OK","LOW"))</f>
        <v/>
      </c>
    </row>
    <row r="16" customFormat="false" ht="15.75" hidden="false" customHeight="true" outlineLevel="0" collapsed="false">
      <c r="B16" s="81" t="n">
        <f aca="false">IF(C16&lt;&gt;"",ROW()-11,"")</f>
        <v>5</v>
      </c>
      <c r="C16" s="82" t="s">
        <v>135</v>
      </c>
      <c r="D16" s="82" t="s">
        <v>136</v>
      </c>
      <c r="E16" s="82" t="s">
        <v>137</v>
      </c>
      <c r="F16" s="82" t="s">
        <v>138</v>
      </c>
      <c r="G16" s="82" t="s">
        <v>67</v>
      </c>
      <c r="H16" s="83" t="s">
        <v>139</v>
      </c>
      <c r="I16" s="83" t="s">
        <v>109</v>
      </c>
      <c r="J16" s="82" t="s">
        <v>140</v>
      </c>
      <c r="K16" s="84" t="n">
        <v>46063</v>
      </c>
      <c r="L16" s="84" t="n">
        <v>46091</v>
      </c>
      <c r="M16" s="81" t="n">
        <f aca="false">IF(AND(L16&lt;&gt;"",Z16="Open"),L16-Settings!$C$13,"")</f>
        <v>3</v>
      </c>
      <c r="N16" s="81" t="str">
        <f aca="false">IF(Z16&lt;&gt;"Open","",IF(L16="","",IF(L16&lt;Settings!$C$13,"OVERDUE",IF(L16&lt;=Settings!$C$13+Settings!C9,"AT RISK","OK"))))</f>
        <v>AT RISK</v>
      </c>
      <c r="O16" s="83" t="s">
        <v>111</v>
      </c>
      <c r="P16" s="81" t="n">
        <v>3</v>
      </c>
      <c r="Q16" s="85" t="n">
        <v>3500</v>
      </c>
      <c r="R16" s="85" t="n">
        <v>3200</v>
      </c>
      <c r="S16" s="85" t="n">
        <v>3750</v>
      </c>
      <c r="T16" s="85" t="n">
        <f aca="false">IF(AND(Q16&gt;0,R16&gt;0),Q16-R16,"")</f>
        <v>300</v>
      </c>
      <c r="U16" s="86" t="n">
        <f aca="false">IFERROR(IF(AND(Q16&gt;0,R16&gt;0),(Q16-R16)/Q16,""),"")</f>
        <v>0.0857142857142857</v>
      </c>
      <c r="V16" s="82"/>
      <c r="W16" s="84"/>
      <c r="X16" s="81" t="str">
        <f aca="false">IF(AND(K16&lt;&gt;"",W16&lt;&gt;""),W16-K16,"")</f>
        <v/>
      </c>
      <c r="Y16" s="81" t="str">
        <f aca="false">IF(AND(X16&lt;&gt;"",X16&gt;0),IF(X16&lt;=Settings!C8,"Yes","No"),"")</f>
        <v/>
      </c>
      <c r="Z16" s="83" t="s">
        <v>127</v>
      </c>
      <c r="AA16" s="87"/>
      <c r="AB16" s="88" t="str">
        <f aca="false">IF(Z16&lt;&gt;"Closed","",IF(P16&gt;=Settings!$C$10,"OK","LOW"))</f>
        <v/>
      </c>
    </row>
    <row r="17" customFormat="false" ht="15.75" hidden="false" customHeight="true" outlineLevel="0" collapsed="false">
      <c r="B17" s="89" t="n">
        <f aca="false">IF(C17&lt;&gt;"",ROW()-11,"")</f>
        <v>6</v>
      </c>
      <c r="C17" s="90" t="s">
        <v>141</v>
      </c>
      <c r="D17" s="90" t="s">
        <v>142</v>
      </c>
      <c r="E17" s="90" t="s">
        <v>143</v>
      </c>
      <c r="F17" s="90" t="s">
        <v>144</v>
      </c>
      <c r="G17" s="90" t="s">
        <v>68</v>
      </c>
      <c r="H17" s="91" t="s">
        <v>125</v>
      </c>
      <c r="I17" s="91" t="s">
        <v>111</v>
      </c>
      <c r="J17" s="90" t="s">
        <v>145</v>
      </c>
      <c r="K17" s="92" t="n">
        <v>46023</v>
      </c>
      <c r="L17" s="92" t="n">
        <v>46053</v>
      </c>
      <c r="M17" s="89" t="str">
        <f aca="false">IF(AND(L17&lt;&gt;"",Z17="Open"),L17-Settings!$C$13,"")</f>
        <v/>
      </c>
      <c r="N17" s="89" t="str">
        <f aca="false">IF(Z17&lt;&gt;"Open","",IF(L17="","",IF(L17&lt;Settings!$C$13,"OVERDUE",IF(L17&lt;=Settings!$C$13+Settings!C9,"AT RISK","OK"))))</f>
        <v/>
      </c>
      <c r="O17" s="91" t="s">
        <v>111</v>
      </c>
      <c r="P17" s="89" t="n">
        <v>1</v>
      </c>
      <c r="Q17" s="93" t="n">
        <v>130000</v>
      </c>
      <c r="R17" s="93" t="n">
        <v>145000</v>
      </c>
      <c r="S17" s="93"/>
      <c r="T17" s="93" t="n">
        <f aca="false">IF(AND(Q17&gt;0,R17&gt;0),Q17-R17,"")</f>
        <v>-15000</v>
      </c>
      <c r="U17" s="94" t="n">
        <f aca="false">IFERROR(IF(AND(Q17&gt;0,R17&gt;0),(Q17-R17)/Q17,""),"")</f>
        <v>-0.115384615384615</v>
      </c>
      <c r="V17" s="90" t="s">
        <v>145</v>
      </c>
      <c r="W17" s="92" t="n">
        <v>46063</v>
      </c>
      <c r="X17" s="89" t="n">
        <f aca="false">IF(AND(K17&lt;&gt;"",W17&lt;&gt;""),W17-K17,"")</f>
        <v>40</v>
      </c>
      <c r="Y17" s="89" t="str">
        <f aca="false">IF(AND(X17&lt;&gt;"",X17&gt;0),IF(X17&lt;=Settings!C8,"Yes","No"),"")</f>
        <v>Yes</v>
      </c>
      <c r="Z17" s="91" t="s">
        <v>112</v>
      </c>
      <c r="AA17" s="95" t="s">
        <v>146</v>
      </c>
      <c r="AB17" s="88" t="str">
        <f aca="false">IF(Z17&lt;&gt;"Closed","",IF(P17&gt;=Settings!$C$10,"OK","LOW"))</f>
        <v>LOW</v>
      </c>
    </row>
    <row r="18" customFormat="false" ht="15.75" hidden="false" customHeight="true" outlineLevel="0" collapsed="false">
      <c r="B18" s="81" t="n">
        <f aca="false">IF(C18&lt;&gt;"",ROW()-11,"")</f>
        <v>7</v>
      </c>
      <c r="C18" s="82" t="s">
        <v>147</v>
      </c>
      <c r="D18" s="82" t="s">
        <v>148</v>
      </c>
      <c r="E18" s="82" t="s">
        <v>149</v>
      </c>
      <c r="F18" s="82" t="s">
        <v>107</v>
      </c>
      <c r="G18" s="82" t="s">
        <v>69</v>
      </c>
      <c r="H18" s="83" t="s">
        <v>108</v>
      </c>
      <c r="I18" s="83" t="s">
        <v>109</v>
      </c>
      <c r="J18" s="82" t="s">
        <v>150</v>
      </c>
      <c r="K18" s="84" t="n">
        <v>46033</v>
      </c>
      <c r="L18" s="84" t="n">
        <v>46063</v>
      </c>
      <c r="M18" s="81" t="str">
        <f aca="false">IF(AND(L18&lt;&gt;"",Z18="Open"),L18-Settings!$C$13,"")</f>
        <v/>
      </c>
      <c r="N18" s="81" t="str">
        <f aca="false">IF(Z18&lt;&gt;"Open","",IF(L18="","",IF(L18&lt;Settings!$C$13,"OVERDUE",IF(L18&lt;=Settings!$C$13+Settings!C9,"AT RISK","OK"))))</f>
        <v/>
      </c>
      <c r="O18" s="83" t="s">
        <v>111</v>
      </c>
      <c r="P18" s="81" t="n">
        <v>3</v>
      </c>
      <c r="Q18" s="85" t="n">
        <v>36000</v>
      </c>
      <c r="R18" s="85" t="n">
        <v>34500</v>
      </c>
      <c r="S18" s="85" t="n">
        <v>38000</v>
      </c>
      <c r="T18" s="85" t="n">
        <f aca="false">IF(AND(Q18&gt;0,R18&gt;0),Q18-R18,"")</f>
        <v>1500</v>
      </c>
      <c r="U18" s="86" t="n">
        <f aca="false">IFERROR(IF(AND(Q18&gt;0,R18&gt;0),(Q18-R18)/Q18,""),"")</f>
        <v>0.0416666666666667</v>
      </c>
      <c r="V18" s="82" t="s">
        <v>150</v>
      </c>
      <c r="W18" s="84" t="n">
        <v>46073</v>
      </c>
      <c r="X18" s="81" t="n">
        <f aca="false">IF(AND(K18&lt;&gt;"",W18&lt;&gt;""),W18-K18,"")</f>
        <v>40</v>
      </c>
      <c r="Y18" s="81" t="str">
        <f aca="false">IF(AND(X18&lt;&gt;"",X18&gt;0),IF(X18&lt;=Settings!C8,"Yes","No"),"")</f>
        <v>Yes</v>
      </c>
      <c r="Z18" s="83" t="s">
        <v>112</v>
      </c>
      <c r="AA18" s="87"/>
      <c r="AB18" s="88" t="str">
        <f aca="false">IF(Z18&lt;&gt;"Closed","",IF(P18&gt;=Settings!$C$10,"OK","LOW"))</f>
        <v>LOW</v>
      </c>
    </row>
    <row r="19" customFormat="false" ht="15.75" hidden="false" customHeight="true" outlineLevel="0" collapsed="false">
      <c r="B19" s="89" t="n">
        <f aca="false">IF(C19&lt;&gt;"",ROW()-11,"")</f>
        <v>8</v>
      </c>
      <c r="C19" s="90" t="s">
        <v>151</v>
      </c>
      <c r="D19" s="90" t="s">
        <v>152</v>
      </c>
      <c r="E19" s="90" t="s">
        <v>153</v>
      </c>
      <c r="F19" s="90" t="s">
        <v>154</v>
      </c>
      <c r="G19" s="90" t="s">
        <v>70</v>
      </c>
      <c r="H19" s="91" t="s">
        <v>118</v>
      </c>
      <c r="I19" s="91" t="s">
        <v>109</v>
      </c>
      <c r="J19" s="90" t="s">
        <v>155</v>
      </c>
      <c r="K19" s="92" t="n">
        <v>46068</v>
      </c>
      <c r="L19" s="92" t="n">
        <v>46095</v>
      </c>
      <c r="M19" s="89" t="n">
        <f aca="false">IF(AND(L19&lt;&gt;"",Z19="Open"),L19-Settings!$C$13,"")</f>
        <v>7</v>
      </c>
      <c r="N19" s="89" t="str">
        <f aca="false">IF(Z19&lt;&gt;"Open","",IF(L19="","",IF(L19&lt;Settings!$C$13,"OVERDUE",IF(L19&lt;=Settings!$C$13+Settings!C9,"AT RISK","OK"))))</f>
        <v>OK</v>
      </c>
      <c r="O19" s="91" t="s">
        <v>109</v>
      </c>
      <c r="P19" s="89"/>
      <c r="Q19" s="93" t="n">
        <v>800</v>
      </c>
      <c r="R19" s="93"/>
      <c r="S19" s="93"/>
      <c r="T19" s="93" t="str">
        <f aca="false">IF(AND(Q19&gt;0,R19&gt;0),Q19-R19,"")</f>
        <v/>
      </c>
      <c r="U19" s="94" t="str">
        <f aca="false">IFERROR(IF(AND(Q19&gt;0,R19&gt;0),(Q19-R19)/Q19,""),"")</f>
        <v/>
      </c>
      <c r="V19" s="90"/>
      <c r="W19" s="92"/>
      <c r="X19" s="89" t="str">
        <f aca="false">IF(AND(K19&lt;&gt;"",W19&lt;&gt;""),W19-K19,"")</f>
        <v/>
      </c>
      <c r="Y19" s="89" t="str">
        <f aca="false">IF(AND(X19&lt;&gt;"",X19&gt;0),IF(X19&lt;=Settings!C8,"Yes","No"),"")</f>
        <v/>
      </c>
      <c r="Z19" s="91" t="s">
        <v>127</v>
      </c>
      <c r="AA19" s="95"/>
      <c r="AB19" s="88" t="str">
        <f aca="false">IF(Z19&lt;&gt;"Closed","",IF(P19&gt;=Settings!$C$10,"OK","LOW"))</f>
        <v/>
      </c>
    </row>
    <row r="20" customFormat="false" ht="15.75" hidden="false" customHeight="true" outlineLevel="0" collapsed="false">
      <c r="B20" s="81" t="n">
        <f aca="false">IF(C20&lt;&gt;"",ROW()-11,"")</f>
        <v>9</v>
      </c>
      <c r="C20" s="82" t="s">
        <v>156</v>
      </c>
      <c r="D20" s="82" t="s">
        <v>157</v>
      </c>
      <c r="E20" s="82" t="s">
        <v>158</v>
      </c>
      <c r="F20" s="82" t="s">
        <v>159</v>
      </c>
      <c r="G20" s="82" t="s">
        <v>160</v>
      </c>
      <c r="H20" s="83" t="s">
        <v>108</v>
      </c>
      <c r="I20" s="83" t="s">
        <v>109</v>
      </c>
      <c r="J20" s="82" t="s">
        <v>161</v>
      </c>
      <c r="K20" s="84" t="n">
        <v>46073</v>
      </c>
      <c r="L20" s="84" t="n">
        <v>46103</v>
      </c>
      <c r="M20" s="81" t="n">
        <f aca="false">IF(AND(L20&lt;&gt;"",Z20="Open"),L20-Settings!$C$13,"")</f>
        <v>15</v>
      </c>
      <c r="N20" s="81" t="str">
        <f aca="false">IF(Z20&lt;&gt;"Open","",IF(L20="","",IF(L20&lt;Settings!$C$13,"OVERDUE",IF(L20&lt;=Settings!$C$13+Settings!C9,"AT RISK","OK"))))</f>
        <v>OK</v>
      </c>
      <c r="O20" s="83" t="s">
        <v>111</v>
      </c>
      <c r="P20" s="81" t="n">
        <v>2</v>
      </c>
      <c r="Q20" s="85" t="n">
        <v>24000</v>
      </c>
      <c r="R20" s="85" t="n">
        <v>22800</v>
      </c>
      <c r="S20" s="85" t="n">
        <v>25600</v>
      </c>
      <c r="T20" s="85" t="n">
        <f aca="false">IF(AND(Q20&gt;0,R20&gt;0),Q20-R20,"")</f>
        <v>1200</v>
      </c>
      <c r="U20" s="86" t="n">
        <f aca="false">IFERROR(IF(AND(Q20&gt;0,R20&gt;0),(Q20-R20)/Q20,""),"")</f>
        <v>0.05</v>
      </c>
      <c r="V20" s="82"/>
      <c r="W20" s="84"/>
      <c r="X20" s="81" t="str">
        <f aca="false">IF(AND(K20&lt;&gt;"",W20&lt;&gt;""),W20-K20,"")</f>
        <v/>
      </c>
      <c r="Y20" s="81" t="str">
        <f aca="false">IF(AND(X20&lt;&gt;"",X20&gt;0),IF(X20&lt;=Settings!C8,"Yes","No"),"")</f>
        <v/>
      </c>
      <c r="Z20" s="83" t="s">
        <v>127</v>
      </c>
      <c r="AA20" s="87" t="s">
        <v>162</v>
      </c>
      <c r="AB20" s="88" t="str">
        <f aca="false">IF(Z20&lt;&gt;"Closed","",IF(P20&gt;=Settings!$C$10,"OK","LOW"))</f>
        <v/>
      </c>
    </row>
    <row r="21" customFormat="false" ht="15.75" hidden="false" customHeight="true" outlineLevel="0" collapsed="false">
      <c r="B21" s="89" t="n">
        <f aca="false">IF(C21&lt;&gt;"",ROW()-11,"")</f>
        <v>10</v>
      </c>
      <c r="C21" s="90" t="s">
        <v>163</v>
      </c>
      <c r="D21" s="90" t="s">
        <v>164</v>
      </c>
      <c r="E21" s="90" t="s">
        <v>165</v>
      </c>
      <c r="F21" s="90" t="s">
        <v>166</v>
      </c>
      <c r="G21" s="90" t="s">
        <v>167</v>
      </c>
      <c r="H21" s="91" t="s">
        <v>125</v>
      </c>
      <c r="I21" s="91" t="s">
        <v>109</v>
      </c>
      <c r="J21" s="90" t="s">
        <v>168</v>
      </c>
      <c r="K21" s="92" t="n">
        <v>46028</v>
      </c>
      <c r="L21" s="92" t="n">
        <v>46058</v>
      </c>
      <c r="M21" s="89" t="str">
        <f aca="false">IF(AND(L21&lt;&gt;"",Z21="Open"),L21-Settings!$C$13,"")</f>
        <v/>
      </c>
      <c r="N21" s="89" t="str">
        <f aca="false">IF(Z21&lt;&gt;"Open","",IF(L21="","",IF(L21&lt;Settings!$C$13,"OVERDUE",IF(L21&lt;=Settings!$C$13+Settings!C9,"AT RISK","OK"))))</f>
        <v/>
      </c>
      <c r="O21" s="91" t="s">
        <v>111</v>
      </c>
      <c r="P21" s="89" t="n">
        <v>4</v>
      </c>
      <c r="Q21" s="93" t="n">
        <v>70000</v>
      </c>
      <c r="R21" s="93" t="n">
        <v>67200</v>
      </c>
      <c r="S21" s="93" t="n">
        <v>71000</v>
      </c>
      <c r="T21" s="93" t="n">
        <f aca="false">IF(AND(Q21&gt;0,R21&gt;0),Q21-R21,"")</f>
        <v>2800</v>
      </c>
      <c r="U21" s="94" t="n">
        <f aca="false">IFERROR(IF(AND(Q21&gt;0,R21&gt;0),(Q21-R21)/Q21,""),"")</f>
        <v>0.04</v>
      </c>
      <c r="V21" s="90" t="s">
        <v>168</v>
      </c>
      <c r="W21" s="92" t="n">
        <v>46068</v>
      </c>
      <c r="X21" s="89" t="n">
        <f aca="false">IF(AND(K21&lt;&gt;"",W21&lt;&gt;""),W21-K21,"")</f>
        <v>40</v>
      </c>
      <c r="Y21" s="89" t="str">
        <f aca="false">IF(AND(X21&lt;&gt;"",X21&gt;0),IF(X21&lt;=Settings!C8,"Yes","No"),"")</f>
        <v>Yes</v>
      </c>
      <c r="Z21" s="91" t="s">
        <v>112</v>
      </c>
      <c r="AA21" s="95" t="s">
        <v>169</v>
      </c>
      <c r="AB21" s="88" t="str">
        <f aca="false">IF(Z21&lt;&gt;"Closed","",IF(P21&gt;=Settings!$C$10,"OK","LOW"))</f>
        <v>LOW</v>
      </c>
    </row>
    <row r="22" customFormat="false" ht="15.75" hidden="false" customHeight="true" outlineLevel="0" collapsed="false">
      <c r="B22" s="81" t="n">
        <f aca="false">IF(C22&lt;&gt;"",ROW()-11,"")</f>
        <v>11</v>
      </c>
      <c r="C22" s="82" t="s">
        <v>170</v>
      </c>
      <c r="D22" s="82" t="s">
        <v>171</v>
      </c>
      <c r="E22" s="82" t="s">
        <v>172</v>
      </c>
      <c r="F22" s="82" t="s">
        <v>117</v>
      </c>
      <c r="G22" s="82" t="s">
        <v>173</v>
      </c>
      <c r="H22" s="83" t="s">
        <v>139</v>
      </c>
      <c r="I22" s="83" t="s">
        <v>109</v>
      </c>
      <c r="J22" s="82" t="s">
        <v>174</v>
      </c>
      <c r="K22" s="84" t="n">
        <v>46075</v>
      </c>
      <c r="L22" s="84" t="n">
        <v>46108</v>
      </c>
      <c r="M22" s="81" t="n">
        <f aca="false">IF(AND(L22&lt;&gt;"",Z22="Open"),L22-Settings!$C$13,"")</f>
        <v>20</v>
      </c>
      <c r="N22" s="81" t="str">
        <f aca="false">IF(Z22&lt;&gt;"Open","",IF(L22="","",IF(L22&lt;Settings!$C$13,"OVERDUE",IF(L22&lt;=Settings!$C$13+Settings!C9,"AT RISK","OK"))))</f>
        <v>OK</v>
      </c>
      <c r="O22" s="83" t="s">
        <v>109</v>
      </c>
      <c r="P22" s="81"/>
      <c r="Q22" s="85" t="n">
        <v>5500</v>
      </c>
      <c r="R22" s="85"/>
      <c r="S22" s="85"/>
      <c r="T22" s="85" t="str">
        <f aca="false">IF(AND(Q22&gt;0,R22&gt;0),Q22-R22,"")</f>
        <v/>
      </c>
      <c r="U22" s="86" t="str">
        <f aca="false">IFERROR(IF(AND(Q22&gt;0,R22&gt;0),(Q22-R22)/Q22,""),"")</f>
        <v/>
      </c>
      <c r="V22" s="82"/>
      <c r="W22" s="84"/>
      <c r="X22" s="81" t="str">
        <f aca="false">IF(AND(K22&lt;&gt;"",W22&lt;&gt;""),W22-K22,"")</f>
        <v/>
      </c>
      <c r="Y22" s="81" t="str">
        <f aca="false">IF(AND(X22&lt;&gt;"",X22&gt;0),IF(X22&lt;=Settings!C8,"Yes","No"),"")</f>
        <v/>
      </c>
      <c r="Z22" s="83" t="s">
        <v>127</v>
      </c>
      <c r="AA22" s="87"/>
      <c r="AB22" s="88" t="str">
        <f aca="false">IF(Z22&lt;&gt;"Closed","",IF(P22&gt;=Settings!$C$10,"OK","LOW"))</f>
        <v/>
      </c>
    </row>
    <row r="23" customFormat="false" ht="15.75" hidden="false" customHeight="true" outlineLevel="0" collapsed="false">
      <c r="B23" s="89" t="n">
        <f aca="false">IF(C23&lt;&gt;"",ROW()-11,"")</f>
        <v>12</v>
      </c>
      <c r="C23" s="90" t="s">
        <v>175</v>
      </c>
      <c r="D23" s="90" t="s">
        <v>176</v>
      </c>
      <c r="E23" s="90" t="s">
        <v>177</v>
      </c>
      <c r="F23" s="90" t="s">
        <v>138</v>
      </c>
      <c r="G23" s="90" t="s">
        <v>64</v>
      </c>
      <c r="H23" s="91" t="s">
        <v>118</v>
      </c>
      <c r="I23" s="91" t="s">
        <v>109</v>
      </c>
      <c r="J23" s="90" t="s">
        <v>178</v>
      </c>
      <c r="K23" s="92" t="n">
        <v>46048</v>
      </c>
      <c r="L23" s="92" t="n">
        <v>46078</v>
      </c>
      <c r="M23" s="89" t="str">
        <f aca="false">IF(AND(L23&lt;&gt;"",Z23="Open"),L23-Settings!$C$13,"")</f>
        <v/>
      </c>
      <c r="N23" s="89" t="str">
        <f aca="false">IF(Z23&lt;&gt;"Open","",IF(L23="","",IF(L23&lt;Settings!$C$13,"OVERDUE",IF(L23&lt;=Settings!$C$13+Settings!C9,"AT RISK","OK"))))</f>
        <v/>
      </c>
      <c r="O23" s="91" t="s">
        <v>111</v>
      </c>
      <c r="P23" s="89" t="n">
        <v>5</v>
      </c>
      <c r="Q23" s="93" t="n">
        <v>750</v>
      </c>
      <c r="R23" s="93" t="n">
        <v>620</v>
      </c>
      <c r="S23" s="93" t="n">
        <v>710</v>
      </c>
      <c r="T23" s="93" t="n">
        <f aca="false">IF(AND(Q23&gt;0,R23&gt;0),Q23-R23,"")</f>
        <v>130</v>
      </c>
      <c r="U23" s="94" t="n">
        <f aca="false">IFERROR(IF(AND(Q23&gt;0,R23&gt;0),(Q23-R23)/Q23,""),"")</f>
        <v>0.173333333333333</v>
      </c>
      <c r="V23" s="90" t="s">
        <v>178</v>
      </c>
      <c r="W23" s="92" t="n">
        <v>46085</v>
      </c>
      <c r="X23" s="89" t="n">
        <f aca="false">IF(AND(K23&lt;&gt;"",W23&lt;&gt;""),W23-K23,"")</f>
        <v>37</v>
      </c>
      <c r="Y23" s="89" t="str">
        <f aca="false">IF(AND(X23&lt;&gt;"",X23&gt;0),IF(X23&lt;=Settings!C8,"Yes","No"),"")</f>
        <v>Yes</v>
      </c>
      <c r="Z23" s="91" t="s">
        <v>112</v>
      </c>
      <c r="AA23" s="95" t="s">
        <v>179</v>
      </c>
      <c r="AB23" s="88" t="str">
        <f aca="false">IF(Z23&lt;&gt;"Closed","",IF(P23&gt;=Settings!$C$10,"OK","LOW"))</f>
        <v>LOW</v>
      </c>
    </row>
    <row r="24" customFormat="false" ht="15.75" hidden="false" customHeight="true" outlineLevel="0" collapsed="false">
      <c r="B24" s="81" t="n">
        <f aca="false">IF(C24&lt;&gt;"",ROW()-11,"")</f>
        <v>13</v>
      </c>
      <c r="C24" s="82" t="s">
        <v>180</v>
      </c>
      <c r="D24" s="82" t="s">
        <v>181</v>
      </c>
      <c r="E24" s="82" t="s">
        <v>182</v>
      </c>
      <c r="F24" s="82" t="s">
        <v>124</v>
      </c>
      <c r="G24" s="82" t="s">
        <v>183</v>
      </c>
      <c r="H24" s="83" t="s">
        <v>125</v>
      </c>
      <c r="I24" s="83" t="s">
        <v>111</v>
      </c>
      <c r="J24" s="82" t="s">
        <v>184</v>
      </c>
      <c r="K24" s="84" t="n">
        <v>46078</v>
      </c>
      <c r="L24" s="84" t="n">
        <v>46113</v>
      </c>
      <c r="M24" s="81" t="n">
        <f aca="false">IF(AND(L24&lt;&gt;"",Z24="Open"),L24-Settings!$C$13,"")</f>
        <v>25</v>
      </c>
      <c r="N24" s="81" t="str">
        <f aca="false">IF(Z24&lt;&gt;"Open","",IF(L24="","",IF(L24&lt;Settings!$C$13,"OVERDUE",IF(L24&lt;=Settings!$C$13+Settings!C9,"AT RISK","OK"))))</f>
        <v>OK</v>
      </c>
      <c r="O24" s="83" t="s">
        <v>109</v>
      </c>
      <c r="P24" s="81"/>
      <c r="Q24" s="85" t="n">
        <v>18000</v>
      </c>
      <c r="R24" s="85"/>
      <c r="S24" s="85"/>
      <c r="T24" s="85" t="str">
        <f aca="false">IF(AND(Q24&gt;0,R24&gt;0),Q24-R24,"")</f>
        <v/>
      </c>
      <c r="U24" s="86" t="str">
        <f aca="false">IFERROR(IF(AND(Q24&gt;0,R24&gt;0),(Q24-R24)/Q24,""),"")</f>
        <v/>
      </c>
      <c r="V24" s="82"/>
      <c r="W24" s="84"/>
      <c r="X24" s="81" t="str">
        <f aca="false">IF(AND(K24&lt;&gt;"",W24&lt;&gt;""),W24-K24,"")</f>
        <v/>
      </c>
      <c r="Y24" s="81" t="str">
        <f aca="false">IF(AND(X24&lt;&gt;"",X24&gt;0),IF(X24&lt;=Settings!C8,"Yes","No"),"")</f>
        <v/>
      </c>
      <c r="Z24" s="83" t="s">
        <v>127</v>
      </c>
      <c r="AA24" s="87" t="s">
        <v>185</v>
      </c>
      <c r="AB24" s="88" t="str">
        <f aca="false">IF(Z24&lt;&gt;"Closed","",IF(P24&gt;=Settings!$C$10,"OK","LOW"))</f>
        <v/>
      </c>
    </row>
    <row r="25" customFormat="false" ht="15.75" hidden="false" customHeight="true" outlineLevel="0" collapsed="false">
      <c r="B25" s="89" t="n">
        <f aca="false">IF(C25&lt;&gt;"",ROW()-11,"")</f>
        <v>14</v>
      </c>
      <c r="C25" s="90" t="s">
        <v>186</v>
      </c>
      <c r="D25" s="90" t="s">
        <v>187</v>
      </c>
      <c r="E25" s="90" t="s">
        <v>188</v>
      </c>
      <c r="F25" s="90" t="s">
        <v>107</v>
      </c>
      <c r="G25" s="90" t="s">
        <v>67</v>
      </c>
      <c r="H25" s="91" t="s">
        <v>108</v>
      </c>
      <c r="I25" s="91" t="s">
        <v>109</v>
      </c>
      <c r="J25" s="90" t="s">
        <v>189</v>
      </c>
      <c r="K25" s="92" t="n">
        <v>46041</v>
      </c>
      <c r="L25" s="92" t="n">
        <v>46071</v>
      </c>
      <c r="M25" s="89" t="str">
        <f aca="false">IF(AND(L25&lt;&gt;"",Z25="Open"),L25-Settings!$C$13,"")</f>
        <v/>
      </c>
      <c r="N25" s="89" t="str">
        <f aca="false">IF(Z25&lt;&gt;"Open","",IF(L25="","",IF(L25&lt;Settings!$C$13,"OVERDUE",IF(L25&lt;=Settings!$C$13+Settings!C9,"AT RISK","OK"))))</f>
        <v/>
      </c>
      <c r="O25" s="91" t="s">
        <v>111</v>
      </c>
      <c r="P25" s="89" t="n">
        <v>3</v>
      </c>
      <c r="Q25" s="93" t="n">
        <v>9800</v>
      </c>
      <c r="R25" s="93" t="n">
        <v>9100</v>
      </c>
      <c r="S25" s="93" t="n">
        <v>10400</v>
      </c>
      <c r="T25" s="93" t="n">
        <f aca="false">IF(AND(Q25&gt;0,R25&gt;0),Q25-R25,"")</f>
        <v>700</v>
      </c>
      <c r="U25" s="94" t="n">
        <f aca="false">IFERROR(IF(AND(Q25&gt;0,R25&gt;0),(Q25-R25)/Q25,""),"")</f>
        <v>0.0714285714285714</v>
      </c>
      <c r="V25" s="90" t="s">
        <v>189</v>
      </c>
      <c r="W25" s="92" t="n">
        <v>46079</v>
      </c>
      <c r="X25" s="89" t="n">
        <f aca="false">IF(AND(K25&lt;&gt;"",W25&lt;&gt;""),W25-K25,"")</f>
        <v>38</v>
      </c>
      <c r="Y25" s="89" t="str">
        <f aca="false">IF(AND(X25&lt;&gt;"",X25&gt;0),IF(X25&lt;=Settings!C8,"Yes","No"),"")</f>
        <v>Yes</v>
      </c>
      <c r="Z25" s="91" t="s">
        <v>112</v>
      </c>
      <c r="AA25" s="95"/>
      <c r="AB25" s="88" t="str">
        <f aca="false">IF(Z25&lt;&gt;"Closed","",IF(P25&gt;=Settings!$C$10,"OK","LOW"))</f>
        <v>LOW</v>
      </c>
    </row>
    <row r="26" customFormat="false" ht="15.75" hidden="false" customHeight="true" outlineLevel="0" collapsed="false">
      <c r="B26" s="81" t="n">
        <f aca="false">IF(C26&lt;&gt;"",ROW()-11,"")</f>
        <v>15</v>
      </c>
      <c r="C26" s="82" t="s">
        <v>190</v>
      </c>
      <c r="D26" s="82" t="s">
        <v>191</v>
      </c>
      <c r="E26" s="82" t="s">
        <v>192</v>
      </c>
      <c r="F26" s="82" t="s">
        <v>144</v>
      </c>
      <c r="G26" s="82" t="s">
        <v>193</v>
      </c>
      <c r="H26" s="83" t="s">
        <v>125</v>
      </c>
      <c r="I26" s="83" t="s">
        <v>109</v>
      </c>
      <c r="J26" s="82" t="s">
        <v>194</v>
      </c>
      <c r="K26" s="84" t="n">
        <v>46080</v>
      </c>
      <c r="L26" s="84" t="n">
        <v>46118</v>
      </c>
      <c r="M26" s="81" t="n">
        <f aca="false">IF(AND(L26&lt;&gt;"",Z26="Open"),L26-Settings!$C$13,"")</f>
        <v>30</v>
      </c>
      <c r="N26" s="81" t="str">
        <f aca="false">IF(Z26&lt;&gt;"Open","",IF(L26="","",IF(L26&lt;Settings!$C$13,"OVERDUE",IF(L26&lt;=Settings!$C$13+Settings!C9,"AT RISK","OK"))))</f>
        <v>OK</v>
      </c>
      <c r="O26" s="83" t="s">
        <v>109</v>
      </c>
      <c r="P26" s="81"/>
      <c r="Q26" s="85" t="n">
        <v>52000</v>
      </c>
      <c r="R26" s="85"/>
      <c r="S26" s="85"/>
      <c r="T26" s="85" t="str">
        <f aca="false">IF(AND(Q26&gt;0,R26&gt;0),Q26-R26,"")</f>
        <v/>
      </c>
      <c r="U26" s="86" t="str">
        <f aca="false">IFERROR(IF(AND(Q26&gt;0,R26&gt;0),(Q26-R26)/Q26,""),"")</f>
        <v/>
      </c>
      <c r="V26" s="82"/>
      <c r="W26" s="84"/>
      <c r="X26" s="81" t="str">
        <f aca="false">IF(AND(K26&lt;&gt;"",W26&lt;&gt;""),W26-K26,"")</f>
        <v/>
      </c>
      <c r="Y26" s="81" t="str">
        <f aca="false">IF(AND(X26&lt;&gt;"",X26&gt;0),IF(X26&lt;=Settings!C8,"Yes","No"),"")</f>
        <v/>
      </c>
      <c r="Z26" s="83" t="s">
        <v>127</v>
      </c>
      <c r="AA26" s="87" t="s">
        <v>195</v>
      </c>
      <c r="AB26" s="88" t="str">
        <f aca="false">IF(Z26&lt;&gt;"Closed","",IF(P26&gt;=Settings!$C$10,"OK","LOW"))</f>
        <v/>
      </c>
    </row>
    <row r="27" customFormat="false" ht="15.75" hidden="false" customHeight="true" outlineLevel="0" collapsed="false">
      <c r="B27" s="89" t="n">
        <f aca="false">IF(C27&lt;&gt;"",ROW()-11,"")</f>
        <v>16</v>
      </c>
      <c r="C27" s="90" t="s">
        <v>196</v>
      </c>
      <c r="D27" s="90" t="s">
        <v>197</v>
      </c>
      <c r="E27" s="90" t="s">
        <v>198</v>
      </c>
      <c r="F27" s="90" t="s">
        <v>138</v>
      </c>
      <c r="G27" s="90" t="s">
        <v>64</v>
      </c>
      <c r="H27" s="91" t="s">
        <v>118</v>
      </c>
      <c r="I27" s="91" t="s">
        <v>109</v>
      </c>
      <c r="J27" s="90" t="s">
        <v>178</v>
      </c>
      <c r="K27" s="92" t="n">
        <v>46021</v>
      </c>
      <c r="L27" s="92" t="n">
        <v>46051</v>
      </c>
      <c r="M27" s="89" t="str">
        <f aca="false">IF(AND(L27&lt;&gt;"",Z27="Open"),L27-Settings!$C$13,"")</f>
        <v/>
      </c>
      <c r="N27" s="89" t="str">
        <f aca="false">IF(Z27&lt;&gt;"Open","",IF(L27="","",IF(L27&lt;Settings!$C$13,"OVERDUE",IF(L27&lt;=Settings!$C$13+Settings!C9,"AT RISK","OK"))))</f>
        <v/>
      </c>
      <c r="O27" s="91" t="s">
        <v>111</v>
      </c>
      <c r="P27" s="89" t="n">
        <v>4</v>
      </c>
      <c r="Q27" s="93" t="n">
        <v>500</v>
      </c>
      <c r="R27" s="93" t="n">
        <v>480</v>
      </c>
      <c r="S27" s="93" t="n">
        <v>530</v>
      </c>
      <c r="T27" s="93" t="n">
        <f aca="false">IF(AND(Q27&gt;0,R27&gt;0),Q27-R27,"")</f>
        <v>20</v>
      </c>
      <c r="U27" s="94" t="n">
        <f aca="false">IFERROR(IF(AND(Q27&gt;0,R27&gt;0),(Q27-R27)/Q27,""),"")</f>
        <v>0.04</v>
      </c>
      <c r="V27" s="90" t="s">
        <v>178</v>
      </c>
      <c r="W27" s="92" t="n">
        <v>46061</v>
      </c>
      <c r="X27" s="89" t="n">
        <f aca="false">IF(AND(K27&lt;&gt;"",W27&lt;&gt;""),W27-K27,"")</f>
        <v>40</v>
      </c>
      <c r="Y27" s="89" t="str">
        <f aca="false">IF(AND(X27&lt;&gt;"",X27&gt;0),IF(X27&lt;=Settings!C8,"Yes","No"),"")</f>
        <v>Yes</v>
      </c>
      <c r="Z27" s="91" t="s">
        <v>112</v>
      </c>
      <c r="AA27" s="95"/>
      <c r="AB27" s="88" t="str">
        <f aca="false">IF(Z27&lt;&gt;"Closed","",IF(P27&gt;=Settings!$C$10,"OK","LOW"))</f>
        <v>LOW</v>
      </c>
    </row>
    <row r="28" customFormat="false" ht="15.75" hidden="false" customHeight="true" outlineLevel="0" collapsed="false">
      <c r="B28" s="81" t="n">
        <f aca="false">IF(C28&lt;&gt;"",ROW()-11,"")</f>
        <v>17</v>
      </c>
      <c r="C28" s="82" t="s">
        <v>199</v>
      </c>
      <c r="D28" s="82" t="s">
        <v>200</v>
      </c>
      <c r="E28" s="82" t="s">
        <v>201</v>
      </c>
      <c r="F28" s="82" t="s">
        <v>159</v>
      </c>
      <c r="G28" s="82" t="s">
        <v>173</v>
      </c>
      <c r="H28" s="83" t="s">
        <v>108</v>
      </c>
      <c r="I28" s="83" t="s">
        <v>109</v>
      </c>
      <c r="J28" s="82" t="s">
        <v>155</v>
      </c>
      <c r="K28" s="84" t="n">
        <v>46035</v>
      </c>
      <c r="L28" s="84" t="n">
        <v>46065</v>
      </c>
      <c r="M28" s="81" t="str">
        <f aca="false">IF(AND(L28&lt;&gt;"",Z28="Open"),L28-Settings!$C$13,"")</f>
        <v/>
      </c>
      <c r="N28" s="81" t="str">
        <f aca="false">IF(Z28&lt;&gt;"Open","",IF(L28="","",IF(L28&lt;Settings!$C$13,"OVERDUE",IF(L28&lt;=Settings!$C$13+Settings!C9,"AT RISK","OK"))))</f>
        <v/>
      </c>
      <c r="O28" s="83" t="s">
        <v>111</v>
      </c>
      <c r="P28" s="81" t="n">
        <v>2</v>
      </c>
      <c r="Q28" s="85" t="n">
        <v>29000</v>
      </c>
      <c r="R28" s="85" t="n">
        <v>28500</v>
      </c>
      <c r="S28" s="85" t="n">
        <v>31200</v>
      </c>
      <c r="T28" s="85" t="n">
        <f aca="false">IF(AND(Q28&gt;0,R28&gt;0),Q28-R28,"")</f>
        <v>500</v>
      </c>
      <c r="U28" s="86" t="n">
        <f aca="false">IFERROR(IF(AND(Q28&gt;0,R28&gt;0),(Q28-R28)/Q28,""),"")</f>
        <v>0.0172413793103448</v>
      </c>
      <c r="V28" s="82" t="s">
        <v>155</v>
      </c>
      <c r="W28" s="84" t="n">
        <v>46075</v>
      </c>
      <c r="X28" s="81" t="n">
        <f aca="false">IF(AND(K28&lt;&gt;"",W28&lt;&gt;""),W28-K28,"")</f>
        <v>40</v>
      </c>
      <c r="Y28" s="81" t="str">
        <f aca="false">IF(AND(X28&lt;&gt;"",X28&gt;0),IF(X28&lt;=Settings!C8,"Yes","No"),"")</f>
        <v>Yes</v>
      </c>
      <c r="Z28" s="83" t="s">
        <v>112</v>
      </c>
      <c r="AA28" s="87" t="s">
        <v>202</v>
      </c>
      <c r="AB28" s="88" t="str">
        <f aca="false">IF(Z28&lt;&gt;"Closed","",IF(P28&gt;=Settings!$C$10,"OK","LOW"))</f>
        <v>LOW</v>
      </c>
    </row>
    <row r="29" customFormat="false" ht="15.75" hidden="false" customHeight="true" outlineLevel="0" collapsed="false">
      <c r="B29" s="89" t="n">
        <f aca="false">IF(C29&lt;&gt;"",ROW()-11,"")</f>
        <v>18</v>
      </c>
      <c r="C29" s="90" t="s">
        <v>203</v>
      </c>
      <c r="D29" s="90" t="s">
        <v>204</v>
      </c>
      <c r="E29" s="90" t="s">
        <v>205</v>
      </c>
      <c r="F29" s="90" t="s">
        <v>138</v>
      </c>
      <c r="G29" s="90" t="s">
        <v>67</v>
      </c>
      <c r="H29" s="91" t="s">
        <v>118</v>
      </c>
      <c r="I29" s="91" t="s">
        <v>109</v>
      </c>
      <c r="J29" s="90" t="s">
        <v>140</v>
      </c>
      <c r="K29" s="92" t="n">
        <v>46013</v>
      </c>
      <c r="L29" s="92" t="n">
        <v>46043</v>
      </c>
      <c r="M29" s="89" t="str">
        <f aca="false">IF(AND(L29&lt;&gt;"",Z29="Open"),L29-Settings!$C$13,"")</f>
        <v/>
      </c>
      <c r="N29" s="89" t="str">
        <f aca="false">IF(Z29&lt;&gt;"Open","",IF(L29="","",IF(L29&lt;Settings!$C$13,"OVERDUE",IF(L29&lt;=Settings!$C$13+Settings!C9,"AT RISK","OK"))))</f>
        <v/>
      </c>
      <c r="O29" s="91" t="s">
        <v>111</v>
      </c>
      <c r="P29" s="89" t="n">
        <v>5</v>
      </c>
      <c r="Q29" s="93" t="n">
        <v>4800</v>
      </c>
      <c r="R29" s="93" t="n">
        <v>4200</v>
      </c>
      <c r="S29" s="93" t="n">
        <v>4650</v>
      </c>
      <c r="T29" s="93" t="n">
        <f aca="false">IF(AND(Q29&gt;0,R29&gt;0),Q29-R29,"")</f>
        <v>600</v>
      </c>
      <c r="U29" s="94" t="n">
        <f aca="false">IFERROR(IF(AND(Q29&gt;0,R29&gt;0),(Q29-R29)/Q29,""),"")</f>
        <v>0.125</v>
      </c>
      <c r="V29" s="90" t="s">
        <v>140</v>
      </c>
      <c r="W29" s="92" t="n">
        <v>46053</v>
      </c>
      <c r="X29" s="89" t="n">
        <f aca="false">IF(AND(K29&lt;&gt;"",W29&lt;&gt;""),W29-K29,"")</f>
        <v>40</v>
      </c>
      <c r="Y29" s="89" t="str">
        <f aca="false">IF(AND(X29&lt;&gt;"",X29&gt;0),IF(X29&lt;=Settings!C8,"Yes","No"),"")</f>
        <v>Yes</v>
      </c>
      <c r="Z29" s="91" t="s">
        <v>112</v>
      </c>
      <c r="AA29" s="95" t="s">
        <v>206</v>
      </c>
      <c r="AB29" s="88" t="str">
        <f aca="false">IF(Z29&lt;&gt;"Closed","",IF(P29&gt;=Settings!$C$10,"OK","LOW"))</f>
        <v>LOW</v>
      </c>
    </row>
    <row r="30" customFormat="false" ht="15.75" hidden="false" customHeight="true" outlineLevel="0" collapsed="false">
      <c r="B30" s="81" t="n">
        <f aca="false">IF(C30&lt;&gt;"",ROW()-11,"")</f>
        <v>19</v>
      </c>
      <c r="C30" s="82" t="s">
        <v>207</v>
      </c>
      <c r="D30" s="82" t="s">
        <v>208</v>
      </c>
      <c r="E30" s="82" t="s">
        <v>209</v>
      </c>
      <c r="F30" s="82" t="s">
        <v>144</v>
      </c>
      <c r="G30" s="82" t="s">
        <v>210</v>
      </c>
      <c r="H30" s="83" t="s">
        <v>139</v>
      </c>
      <c r="I30" s="83" t="s">
        <v>109</v>
      </c>
      <c r="J30" s="82" t="s">
        <v>211</v>
      </c>
      <c r="K30" s="84" t="n">
        <v>46076</v>
      </c>
      <c r="L30" s="84" t="n">
        <v>46111</v>
      </c>
      <c r="M30" s="81" t="n">
        <f aca="false">IF(AND(L30&lt;&gt;"",Z30="Open"),L30-Settings!$C$13,"")</f>
        <v>23</v>
      </c>
      <c r="N30" s="81" t="str">
        <f aca="false">IF(Z30&lt;&gt;"Open","",IF(L30="","",IF(L30&lt;Settings!$C$13,"OVERDUE",IF(L30&lt;=Settings!$C$13+Settings!C9,"AT RISK","OK"))))</f>
        <v>OK</v>
      </c>
      <c r="O30" s="83" t="s">
        <v>109</v>
      </c>
      <c r="P30" s="81"/>
      <c r="Q30" s="85" t="n">
        <v>7200</v>
      </c>
      <c r="R30" s="85"/>
      <c r="S30" s="85"/>
      <c r="T30" s="85" t="str">
        <f aca="false">IF(AND(Q30&gt;0,R30&gt;0),Q30-R30,"")</f>
        <v/>
      </c>
      <c r="U30" s="86" t="str">
        <f aca="false">IFERROR(IF(AND(Q30&gt;0,R30&gt;0),(Q30-R30)/Q30,""),"")</f>
        <v/>
      </c>
      <c r="V30" s="82"/>
      <c r="W30" s="84"/>
      <c r="X30" s="81" t="str">
        <f aca="false">IF(AND(K30&lt;&gt;"",W30&lt;&gt;""),W30-K30,"")</f>
        <v/>
      </c>
      <c r="Y30" s="81" t="str">
        <f aca="false">IF(AND(X30&lt;&gt;"",X30&gt;0),IF(X30&lt;=Settings!C8,"Yes","No"),"")</f>
        <v/>
      </c>
      <c r="Z30" s="83" t="s">
        <v>127</v>
      </c>
      <c r="AA30" s="87"/>
      <c r="AB30" s="88" t="str">
        <f aca="false">IF(Z30&lt;&gt;"Closed","",IF(P30&gt;=Settings!$C$10,"OK","LOW"))</f>
        <v/>
      </c>
    </row>
    <row r="31" customFormat="false" ht="15.75" hidden="false" customHeight="true" outlineLevel="0" collapsed="false">
      <c r="B31" s="89" t="n">
        <f aca="false">IF(C31&lt;&gt;"",ROW()-11,"")</f>
        <v>20</v>
      </c>
      <c r="C31" s="90" t="s">
        <v>212</v>
      </c>
      <c r="D31" s="90" t="s">
        <v>213</v>
      </c>
      <c r="E31" s="90" t="s">
        <v>214</v>
      </c>
      <c r="F31" s="90" t="s">
        <v>117</v>
      </c>
      <c r="G31" s="90" t="s">
        <v>215</v>
      </c>
      <c r="H31" s="91" t="s">
        <v>108</v>
      </c>
      <c r="I31" s="91" t="s">
        <v>109</v>
      </c>
      <c r="J31" s="90" t="s">
        <v>216</v>
      </c>
      <c r="K31" s="92" t="n">
        <v>46031</v>
      </c>
      <c r="L31" s="92" t="n">
        <v>46061</v>
      </c>
      <c r="M31" s="89" t="str">
        <f aca="false">IF(AND(L31&lt;&gt;"",Z31="Open"),L31-Settings!$C$13,"")</f>
        <v/>
      </c>
      <c r="N31" s="89" t="str">
        <f aca="false">IF(Z31&lt;&gt;"Open","",IF(L31="","",IF(L31&lt;Settings!$C$13,"OVERDUE",IF(L31&lt;=Settings!$C$13+Settings!C9,"AT RISK","OK"))))</f>
        <v/>
      </c>
      <c r="O31" s="91" t="s">
        <v>111</v>
      </c>
      <c r="P31" s="89" t="n">
        <v>3</v>
      </c>
      <c r="Q31" s="93" t="n">
        <v>9500</v>
      </c>
      <c r="R31" s="93" t="n">
        <v>8900</v>
      </c>
      <c r="S31" s="93" t="n">
        <v>9700</v>
      </c>
      <c r="T31" s="93" t="n">
        <f aca="false">IF(AND(Q31&gt;0,R31&gt;0),Q31-R31,"")</f>
        <v>600</v>
      </c>
      <c r="U31" s="94" t="n">
        <f aca="false">IFERROR(IF(AND(Q31&gt;0,R31&gt;0),(Q31-R31)/Q31,""),"")</f>
        <v>0.0631578947368421</v>
      </c>
      <c r="V31" s="90" t="s">
        <v>216</v>
      </c>
      <c r="W31" s="92" t="n">
        <v>46071</v>
      </c>
      <c r="X31" s="89" t="n">
        <f aca="false">IF(AND(K31&lt;&gt;"",W31&lt;&gt;""),W31-K31,"")</f>
        <v>40</v>
      </c>
      <c r="Y31" s="89" t="str">
        <f aca="false">IF(AND(X31&lt;&gt;"",X31&gt;0),IF(X31&lt;=Settings!C8,"Yes","No"),"")</f>
        <v>Yes</v>
      </c>
      <c r="Z31" s="91" t="s">
        <v>112</v>
      </c>
      <c r="AA31" s="95"/>
      <c r="AB31" s="88" t="str">
        <f aca="false">IF(Z31&lt;&gt;"Closed","",IF(P31&gt;=Settings!$C$10,"OK","LOW"))</f>
        <v>LOW</v>
      </c>
    </row>
    <row r="32" customFormat="false" ht="15.75" hidden="false" customHeight="true" outlineLevel="0" collapsed="false">
      <c r="B32" s="81" t="n">
        <f aca="false">IF(C32&lt;&gt;"",ROW()-11,"")</f>
        <v>21</v>
      </c>
      <c r="C32" s="82" t="s">
        <v>217</v>
      </c>
      <c r="D32" s="82" t="s">
        <v>218</v>
      </c>
      <c r="E32" s="82" t="s">
        <v>219</v>
      </c>
      <c r="F32" s="82" t="s">
        <v>124</v>
      </c>
      <c r="G32" s="82" t="s">
        <v>65</v>
      </c>
      <c r="H32" s="83" t="s">
        <v>139</v>
      </c>
      <c r="I32" s="83" t="s">
        <v>109</v>
      </c>
      <c r="J32" s="82" t="s">
        <v>220</v>
      </c>
      <c r="K32" s="84" t="n">
        <v>46079</v>
      </c>
      <c r="L32" s="84" t="n">
        <v>46123</v>
      </c>
      <c r="M32" s="81" t="n">
        <f aca="false">IF(AND(L32&lt;&gt;"",Z32="Open"),L32-Settings!$C$13,"")</f>
        <v>35</v>
      </c>
      <c r="N32" s="81" t="str">
        <f aca="false">IF(Z32&lt;&gt;"Open","",IF(L32="","",IF(L32&lt;Settings!$C$13,"OVERDUE",IF(L32&lt;=Settings!$C$13+Settings!C9,"AT RISK","OK"))))</f>
        <v>OK</v>
      </c>
      <c r="O32" s="83" t="s">
        <v>109</v>
      </c>
      <c r="P32" s="81"/>
      <c r="Q32" s="85" t="n">
        <v>14000</v>
      </c>
      <c r="R32" s="85"/>
      <c r="S32" s="85"/>
      <c r="T32" s="85" t="str">
        <f aca="false">IF(AND(Q32&gt;0,R32&gt;0),Q32-R32,"")</f>
        <v/>
      </c>
      <c r="U32" s="86" t="str">
        <f aca="false">IFERROR(IF(AND(Q32&gt;0,R32&gt;0),(Q32-R32)/Q32,""),"")</f>
        <v/>
      </c>
      <c r="V32" s="82"/>
      <c r="W32" s="84"/>
      <c r="X32" s="81" t="str">
        <f aca="false">IF(AND(K32&lt;&gt;"",W32&lt;&gt;""),W32-K32,"")</f>
        <v/>
      </c>
      <c r="Y32" s="81" t="str">
        <f aca="false">IF(AND(X32&lt;&gt;"",X32&gt;0),IF(X32&lt;=Settings!C8,"Yes","No"),"")</f>
        <v/>
      </c>
      <c r="Z32" s="83" t="s">
        <v>127</v>
      </c>
      <c r="AA32" s="87" t="s">
        <v>221</v>
      </c>
      <c r="AB32" s="88" t="str">
        <f aca="false">IF(Z32&lt;&gt;"Closed","",IF(P32&gt;=Settings!$C$10,"OK","LOW"))</f>
        <v/>
      </c>
    </row>
    <row r="33" customFormat="false" ht="15.75" hidden="false" customHeight="true" outlineLevel="0" collapsed="false">
      <c r="B33" s="89" t="n">
        <f aca="false">IF(C33&lt;&gt;"",ROW()-11,"")</f>
        <v>22</v>
      </c>
      <c r="C33" s="90" t="s">
        <v>222</v>
      </c>
      <c r="D33" s="90" t="s">
        <v>223</v>
      </c>
      <c r="E33" s="90" t="s">
        <v>224</v>
      </c>
      <c r="F33" s="90" t="s">
        <v>107</v>
      </c>
      <c r="G33" s="90" t="s">
        <v>63</v>
      </c>
      <c r="H33" s="91" t="s">
        <v>125</v>
      </c>
      <c r="I33" s="91" t="s">
        <v>109</v>
      </c>
      <c r="J33" s="90" t="s">
        <v>110</v>
      </c>
      <c r="K33" s="92" t="n">
        <v>45993</v>
      </c>
      <c r="L33" s="92" t="n">
        <v>46023</v>
      </c>
      <c r="M33" s="89" t="str">
        <f aca="false">IF(AND(L33&lt;&gt;"",Z33="Open"),L33-Settings!$C$13,"")</f>
        <v/>
      </c>
      <c r="N33" s="89" t="str">
        <f aca="false">IF(Z33&lt;&gt;"Open","",IF(L33="","",IF(L33&lt;Settings!$C$13,"OVERDUE",IF(L33&lt;=Settings!$C$13+Settings!C9,"AT RISK","OK"))))</f>
        <v/>
      </c>
      <c r="O33" s="91" t="s">
        <v>111</v>
      </c>
      <c r="P33" s="89" t="n">
        <v>3</v>
      </c>
      <c r="Q33" s="93" t="n">
        <v>21000</v>
      </c>
      <c r="R33" s="93" t="n">
        <v>19800</v>
      </c>
      <c r="S33" s="93" t="n">
        <v>22100</v>
      </c>
      <c r="T33" s="93" t="n">
        <f aca="false">IF(AND(Q33&gt;0,R33&gt;0),Q33-R33,"")</f>
        <v>1200</v>
      </c>
      <c r="U33" s="94" t="n">
        <f aca="false">IFERROR(IF(AND(Q33&gt;0,R33&gt;0),(Q33-R33)/Q33,""),"")</f>
        <v>0.0571428571428571</v>
      </c>
      <c r="V33" s="90" t="s">
        <v>110</v>
      </c>
      <c r="W33" s="92" t="n">
        <v>46033</v>
      </c>
      <c r="X33" s="89" t="n">
        <f aca="false">IF(AND(K33&lt;&gt;"",W33&lt;&gt;""),W33-K33,"")</f>
        <v>40</v>
      </c>
      <c r="Y33" s="89" t="str">
        <f aca="false">IF(AND(X33&lt;&gt;"",X33&gt;0),IF(X33&lt;=Settings!C8,"Yes","No"),"")</f>
        <v>Yes</v>
      </c>
      <c r="Z33" s="91" t="s">
        <v>112</v>
      </c>
      <c r="AA33" s="95" t="s">
        <v>225</v>
      </c>
      <c r="AB33" s="88" t="str">
        <f aca="false">IF(Z33&lt;&gt;"Closed","",IF(P33&gt;=Settings!$C$10,"OK","LOW"))</f>
        <v>LOW</v>
      </c>
    </row>
    <row r="34" customFormat="false" ht="15.75" hidden="false" customHeight="true" outlineLevel="0" collapsed="false">
      <c r="B34" s="81" t="n">
        <f aca="false">IF(C34&lt;&gt;"",ROW()-11,"")</f>
        <v>23</v>
      </c>
      <c r="C34" s="82" t="s">
        <v>226</v>
      </c>
      <c r="D34" s="82" t="s">
        <v>227</v>
      </c>
      <c r="E34" s="82" t="s">
        <v>228</v>
      </c>
      <c r="F34" s="82" t="s">
        <v>132</v>
      </c>
      <c r="G34" s="82" t="s">
        <v>65</v>
      </c>
      <c r="H34" s="83" t="s">
        <v>108</v>
      </c>
      <c r="I34" s="83" t="s">
        <v>109</v>
      </c>
      <c r="J34" s="82" t="s">
        <v>229</v>
      </c>
      <c r="K34" s="84" t="n">
        <v>46003</v>
      </c>
      <c r="L34" s="84" t="n">
        <v>46033</v>
      </c>
      <c r="M34" s="81" t="str">
        <f aca="false">IF(AND(L34&lt;&gt;"",Z34="Open"),L34-Settings!$C$13,"")</f>
        <v/>
      </c>
      <c r="N34" s="81" t="str">
        <f aca="false">IF(Z34&lt;&gt;"Open","",IF(L34="","",IF(L34&lt;Settings!$C$13,"OVERDUE",IF(L34&lt;=Settings!$C$13+Settings!C9,"AT RISK","OK"))))</f>
        <v/>
      </c>
      <c r="O34" s="83" t="s">
        <v>111</v>
      </c>
      <c r="P34" s="81" t="n">
        <v>2</v>
      </c>
      <c r="Q34" s="85" t="n">
        <v>35000</v>
      </c>
      <c r="R34" s="85" t="n">
        <v>33500</v>
      </c>
      <c r="S34" s="85" t="n">
        <v>36800</v>
      </c>
      <c r="T34" s="85" t="n">
        <f aca="false">IF(AND(Q34&gt;0,R34&gt;0),Q34-R34,"")</f>
        <v>1500</v>
      </c>
      <c r="U34" s="86" t="n">
        <f aca="false">IFERROR(IF(AND(Q34&gt;0,R34&gt;0),(Q34-R34)/Q34,""),"")</f>
        <v>0.0428571428571429</v>
      </c>
      <c r="V34" s="82" t="s">
        <v>229</v>
      </c>
      <c r="W34" s="84" t="n">
        <v>46043</v>
      </c>
      <c r="X34" s="81" t="n">
        <f aca="false">IF(AND(K34&lt;&gt;"",W34&lt;&gt;""),W34-K34,"")</f>
        <v>40</v>
      </c>
      <c r="Y34" s="81" t="str">
        <f aca="false">IF(AND(X34&lt;&gt;"",X34&gt;0),IF(X34&lt;=Settings!C8,"Yes","No"),"")</f>
        <v>Yes</v>
      </c>
      <c r="Z34" s="83" t="s">
        <v>112</v>
      </c>
      <c r="AA34" s="87"/>
      <c r="AB34" s="88" t="str">
        <f aca="false">IF(Z34&lt;&gt;"Closed","",IF(P34&gt;=Settings!$C$10,"OK","LOW"))</f>
        <v>LOW</v>
      </c>
    </row>
    <row r="35" customFormat="false" ht="15.75" hidden="false" customHeight="true" outlineLevel="0" collapsed="false">
      <c r="B35" s="89" t="n">
        <f aca="false">IF(C35&lt;&gt;"",ROW()-11,"")</f>
        <v>24</v>
      </c>
      <c r="C35" s="90" t="s">
        <v>230</v>
      </c>
      <c r="D35" s="90" t="s">
        <v>231</v>
      </c>
      <c r="E35" s="90" t="s">
        <v>232</v>
      </c>
      <c r="F35" s="90" t="s">
        <v>154</v>
      </c>
      <c r="G35" s="90" t="s">
        <v>160</v>
      </c>
      <c r="H35" s="91" t="s">
        <v>118</v>
      </c>
      <c r="I35" s="91" t="s">
        <v>109</v>
      </c>
      <c r="J35" s="90" t="s">
        <v>119</v>
      </c>
      <c r="K35" s="92" t="n">
        <v>46068</v>
      </c>
      <c r="L35" s="92" t="n">
        <v>46093</v>
      </c>
      <c r="M35" s="89" t="n">
        <f aca="false">IF(AND(L35&lt;&gt;"",Z35="Open"),L35-Settings!$C$13,"")</f>
        <v>5</v>
      </c>
      <c r="N35" s="89" t="str">
        <f aca="false">IF(Z35&lt;&gt;"Open","",IF(L35="","",IF(L35&lt;Settings!$C$13,"OVERDUE",IF(L35&lt;=Settings!$C$13+Settings!C9,"AT RISK","OK"))))</f>
        <v>OK</v>
      </c>
      <c r="O35" s="91" t="s">
        <v>111</v>
      </c>
      <c r="P35" s="89" t="n">
        <v>3</v>
      </c>
      <c r="Q35" s="93" t="n">
        <v>800</v>
      </c>
      <c r="R35" s="93" t="n">
        <v>720</v>
      </c>
      <c r="S35" s="93" t="n">
        <v>850</v>
      </c>
      <c r="T35" s="93" t="n">
        <f aca="false">IF(AND(Q35&gt;0,R35&gt;0),Q35-R35,"")</f>
        <v>80</v>
      </c>
      <c r="U35" s="94" t="n">
        <f aca="false">IFERROR(IF(AND(Q35&gt;0,R35&gt;0),(Q35-R35)/Q35,""),"")</f>
        <v>0.1</v>
      </c>
      <c r="V35" s="90"/>
      <c r="W35" s="92"/>
      <c r="X35" s="89" t="str">
        <f aca="false">IF(AND(K35&lt;&gt;"",W35&lt;&gt;""),W35-K35,"")</f>
        <v/>
      </c>
      <c r="Y35" s="89" t="str">
        <f aca="false">IF(AND(X35&lt;&gt;"",X35&gt;0),IF(X35&lt;=Settings!C8,"Yes","No"),"")</f>
        <v/>
      </c>
      <c r="Z35" s="91" t="s">
        <v>127</v>
      </c>
      <c r="AA35" s="95" t="s">
        <v>233</v>
      </c>
      <c r="AB35" s="88" t="str">
        <f aca="false">IF(Z35&lt;&gt;"Closed","",IF(P35&gt;=Settings!$C$10,"OK","LOW"))</f>
        <v/>
      </c>
    </row>
    <row r="36" customFormat="false" ht="15.75" hidden="false" customHeight="true" outlineLevel="0" collapsed="false">
      <c r="B36" s="81" t="n">
        <f aca="false">IF(C36&lt;&gt;"",ROW()-11,"")</f>
        <v>25</v>
      </c>
      <c r="C36" s="82" t="s">
        <v>234</v>
      </c>
      <c r="D36" s="82" t="s">
        <v>235</v>
      </c>
      <c r="E36" s="82" t="s">
        <v>236</v>
      </c>
      <c r="F36" s="82" t="s">
        <v>166</v>
      </c>
      <c r="G36" s="82" t="s">
        <v>173</v>
      </c>
      <c r="H36" s="83" t="s">
        <v>139</v>
      </c>
      <c r="I36" s="83" t="s">
        <v>109</v>
      </c>
      <c r="J36" s="82" t="s">
        <v>155</v>
      </c>
      <c r="K36" s="84" t="n">
        <v>45983</v>
      </c>
      <c r="L36" s="84" t="n">
        <v>46013</v>
      </c>
      <c r="M36" s="81" t="str">
        <f aca="false">IF(AND(L36&lt;&gt;"",Z36="Open"),L36-Settings!$C$13,"")</f>
        <v/>
      </c>
      <c r="N36" s="81" t="str">
        <f aca="false">IF(Z36&lt;&gt;"Open","",IF(L36="","",IF(L36&lt;Settings!$C$13,"OVERDUE",IF(L36&lt;=Settings!$C$13+Settings!C9,"AT RISK","OK"))))</f>
        <v/>
      </c>
      <c r="O36" s="83" t="s">
        <v>111</v>
      </c>
      <c r="P36" s="81" t="n">
        <v>4</v>
      </c>
      <c r="Q36" s="85" t="n">
        <v>3300</v>
      </c>
      <c r="R36" s="85" t="n">
        <v>3100</v>
      </c>
      <c r="S36" s="85" t="n">
        <v>3450</v>
      </c>
      <c r="T36" s="85" t="n">
        <f aca="false">IF(AND(Q36&gt;0,R36&gt;0),Q36-R36,"")</f>
        <v>200</v>
      </c>
      <c r="U36" s="86" t="n">
        <f aca="false">IFERROR(IF(AND(Q36&gt;0,R36&gt;0),(Q36-R36)/Q36,""),"")</f>
        <v>0.0606060606060606</v>
      </c>
      <c r="V36" s="82" t="s">
        <v>155</v>
      </c>
      <c r="W36" s="84" t="n">
        <v>46023</v>
      </c>
      <c r="X36" s="81" t="n">
        <f aca="false">IF(AND(K36&lt;&gt;"",W36&lt;&gt;""),W36-K36,"")</f>
        <v>40</v>
      </c>
      <c r="Y36" s="81" t="str">
        <f aca="false">IF(AND(X36&lt;&gt;"",X36&gt;0),IF(X36&lt;=Settings!C8,"Yes","No"),"")</f>
        <v>Yes</v>
      </c>
      <c r="Z36" s="83" t="s">
        <v>112</v>
      </c>
      <c r="AA36" s="87"/>
      <c r="AB36" s="88" t="str">
        <f aca="false">IF(Z36&lt;&gt;"Closed","",IF(P36&gt;=Settings!$C$10,"OK","LOW"))</f>
        <v>LOW</v>
      </c>
    </row>
    <row r="37" customFormat="false" ht="15.75" hidden="false" customHeight="true" outlineLevel="0" collapsed="false">
      <c r="B37" s="89" t="n">
        <f aca="false">IF(C37&lt;&gt;"",ROW()-11,"")</f>
        <v>26</v>
      </c>
      <c r="C37" s="90" t="s">
        <v>237</v>
      </c>
      <c r="D37" s="90" t="s">
        <v>238</v>
      </c>
      <c r="E37" s="90" t="s">
        <v>239</v>
      </c>
      <c r="F37" s="90" t="s">
        <v>117</v>
      </c>
      <c r="G37" s="90" t="s">
        <v>69</v>
      </c>
      <c r="H37" s="91" t="s">
        <v>125</v>
      </c>
      <c r="I37" s="91" t="s">
        <v>109</v>
      </c>
      <c r="J37" s="90" t="s">
        <v>168</v>
      </c>
      <c r="K37" s="92" t="n">
        <v>45973</v>
      </c>
      <c r="L37" s="92" t="n">
        <v>46003</v>
      </c>
      <c r="M37" s="89" t="str">
        <f aca="false">IF(AND(L37&lt;&gt;"",Z37="Open"),L37-Settings!$C$13,"")</f>
        <v/>
      </c>
      <c r="N37" s="89" t="str">
        <f aca="false">IF(Z37&lt;&gt;"Open","",IF(L37="","",IF(L37&lt;Settings!$C$13,"OVERDUE",IF(L37&lt;=Settings!$C$13+Settings!C9,"AT RISK","OK"))))</f>
        <v/>
      </c>
      <c r="O37" s="91" t="s">
        <v>111</v>
      </c>
      <c r="P37" s="89" t="n">
        <v>3</v>
      </c>
      <c r="Q37" s="93" t="n">
        <v>55000</v>
      </c>
      <c r="R37" s="93" t="n">
        <v>52000</v>
      </c>
      <c r="S37" s="93" t="n">
        <v>57500</v>
      </c>
      <c r="T37" s="93" t="n">
        <f aca="false">IF(AND(Q37&gt;0,R37&gt;0),Q37-R37,"")</f>
        <v>3000</v>
      </c>
      <c r="U37" s="94" t="n">
        <f aca="false">IFERROR(IF(AND(Q37&gt;0,R37&gt;0),(Q37-R37)/Q37,""),"")</f>
        <v>0.0545454545454545</v>
      </c>
      <c r="V37" s="90" t="s">
        <v>168</v>
      </c>
      <c r="W37" s="92" t="n">
        <v>46013</v>
      </c>
      <c r="X37" s="89" t="n">
        <f aca="false">IF(AND(K37&lt;&gt;"",W37&lt;&gt;""),W37-K37,"")</f>
        <v>40</v>
      </c>
      <c r="Y37" s="89" t="str">
        <f aca="false">IF(AND(X37&lt;&gt;"",X37&gt;0),IF(X37&lt;=Settings!C8,"Yes","No"),"")</f>
        <v>Yes</v>
      </c>
      <c r="Z37" s="91" t="s">
        <v>112</v>
      </c>
      <c r="AA37" s="95" t="s">
        <v>240</v>
      </c>
      <c r="AB37" s="88" t="str">
        <f aca="false">IF(Z37&lt;&gt;"Closed","",IF(P37&gt;=Settings!$C$10,"OK","LOW"))</f>
        <v>LOW</v>
      </c>
    </row>
    <row r="38" customFormat="false" ht="15.75" hidden="false" customHeight="true" outlineLevel="0" collapsed="false">
      <c r="B38" s="81" t="n">
        <f aca="false">IF(C38&lt;&gt;"",ROW()-11,"")</f>
        <v>27</v>
      </c>
      <c r="C38" s="82" t="s">
        <v>241</v>
      </c>
      <c r="D38" s="82" t="s">
        <v>242</v>
      </c>
      <c r="E38" s="82" t="s">
        <v>243</v>
      </c>
      <c r="F38" s="82" t="s">
        <v>132</v>
      </c>
      <c r="G38" s="82" t="s">
        <v>193</v>
      </c>
      <c r="H38" s="83" t="s">
        <v>108</v>
      </c>
      <c r="I38" s="83" t="s">
        <v>109</v>
      </c>
      <c r="J38" s="82" t="s">
        <v>194</v>
      </c>
      <c r="K38" s="84" t="n">
        <v>45988</v>
      </c>
      <c r="L38" s="84" t="n">
        <v>46018</v>
      </c>
      <c r="M38" s="81" t="str">
        <f aca="false">IF(AND(L38&lt;&gt;"",Z38="Open"),L38-Settings!$C$13,"")</f>
        <v/>
      </c>
      <c r="N38" s="81" t="str">
        <f aca="false">IF(Z38&lt;&gt;"Open","",IF(L38="","",IF(L38&lt;Settings!$C$13,"OVERDUE",IF(L38&lt;=Settings!$C$13+Settings!C9,"AT RISK","OK"))))</f>
        <v/>
      </c>
      <c r="O38" s="83" t="s">
        <v>111</v>
      </c>
      <c r="P38" s="81" t="n">
        <v>2</v>
      </c>
      <c r="Q38" s="85" t="n">
        <v>42000</v>
      </c>
      <c r="R38" s="85" t="n">
        <v>41200</v>
      </c>
      <c r="S38" s="85" t="n">
        <v>44500</v>
      </c>
      <c r="T38" s="85" t="n">
        <f aca="false">IF(AND(Q38&gt;0,R38&gt;0),Q38-R38,"")</f>
        <v>800</v>
      </c>
      <c r="U38" s="86" t="n">
        <f aca="false">IFERROR(IF(AND(Q38&gt;0,R38&gt;0),(Q38-R38)/Q38,""),"")</f>
        <v>0.0190476190476191</v>
      </c>
      <c r="V38" s="82" t="s">
        <v>194</v>
      </c>
      <c r="W38" s="84" t="n">
        <v>46028</v>
      </c>
      <c r="X38" s="81" t="n">
        <f aca="false">IF(AND(K38&lt;&gt;"",W38&lt;&gt;""),W38-K38,"")</f>
        <v>40</v>
      </c>
      <c r="Y38" s="81" t="str">
        <f aca="false">IF(AND(X38&lt;&gt;"",X38&gt;0),IF(X38&lt;=Settings!C8,"Yes","No"),"")</f>
        <v>Yes</v>
      </c>
      <c r="Z38" s="83" t="s">
        <v>112</v>
      </c>
      <c r="AA38" s="87" t="s">
        <v>244</v>
      </c>
      <c r="AB38" s="88" t="str">
        <f aca="false">IF(Z38&lt;&gt;"Closed","",IF(P38&gt;=Settings!$C$10,"OK","LOW"))</f>
        <v>LOW</v>
      </c>
    </row>
    <row r="39" customFormat="false" ht="15.75" hidden="false" customHeight="true" outlineLevel="0" collapsed="false">
      <c r="B39" s="89" t="n">
        <f aca="false">IF(C39&lt;&gt;"",ROW()-11,"")</f>
        <v>28</v>
      </c>
      <c r="C39" s="90" t="s">
        <v>245</v>
      </c>
      <c r="D39" s="90" t="s">
        <v>246</v>
      </c>
      <c r="E39" s="90" t="s">
        <v>247</v>
      </c>
      <c r="F39" s="90" t="s">
        <v>138</v>
      </c>
      <c r="G39" s="90" t="s">
        <v>64</v>
      </c>
      <c r="H39" s="91" t="s">
        <v>118</v>
      </c>
      <c r="I39" s="91" t="s">
        <v>109</v>
      </c>
      <c r="J39" s="90" t="s">
        <v>178</v>
      </c>
      <c r="K39" s="92" t="n">
        <v>46071</v>
      </c>
      <c r="L39" s="92" t="n">
        <v>46098</v>
      </c>
      <c r="M39" s="89" t="n">
        <f aca="false">IF(AND(L39&lt;&gt;"",Z39="Open"),L39-Settings!$C$13,"")</f>
        <v>10</v>
      </c>
      <c r="N39" s="89" t="str">
        <f aca="false">IF(Z39&lt;&gt;"Open","",IF(L39="","",IF(L39&lt;Settings!$C$13,"OVERDUE",IF(L39&lt;=Settings!$C$13+Settings!C9,"AT RISK","OK"))))</f>
        <v>OK</v>
      </c>
      <c r="O39" s="91" t="s">
        <v>111</v>
      </c>
      <c r="P39" s="89" t="n">
        <v>5</v>
      </c>
      <c r="Q39" s="93" t="n">
        <v>450</v>
      </c>
      <c r="R39" s="93" t="n">
        <v>390</v>
      </c>
      <c r="S39" s="93" t="n">
        <v>430</v>
      </c>
      <c r="T39" s="93" t="n">
        <f aca="false">IF(AND(Q39&gt;0,R39&gt;0),Q39-R39,"")</f>
        <v>60</v>
      </c>
      <c r="U39" s="94" t="n">
        <f aca="false">IFERROR(IF(AND(Q39&gt;0,R39&gt;0),(Q39-R39)/Q39,""),"")</f>
        <v>0.133333333333333</v>
      </c>
      <c r="V39" s="90"/>
      <c r="W39" s="92"/>
      <c r="X39" s="89" t="str">
        <f aca="false">IF(AND(K39&lt;&gt;"",W39&lt;&gt;""),W39-K39,"")</f>
        <v/>
      </c>
      <c r="Y39" s="89" t="str">
        <f aca="false">IF(AND(X39&lt;&gt;"",X39&gt;0),IF(X39&lt;=Settings!C8,"Yes","No"),"")</f>
        <v/>
      </c>
      <c r="Z39" s="91" t="s">
        <v>127</v>
      </c>
      <c r="AA39" s="95" t="s">
        <v>248</v>
      </c>
      <c r="AB39" s="88" t="str">
        <f aca="false">IF(Z39&lt;&gt;"Closed","",IF(P39&gt;=Settings!$C$10,"OK","LOW"))</f>
        <v/>
      </c>
    </row>
    <row r="40" customFormat="false" ht="15.75" hidden="false" customHeight="true" outlineLevel="0" collapsed="false">
      <c r="B40" s="81" t="n">
        <f aca="false">IF(C40&lt;&gt;"",ROW()-11,"")</f>
        <v>29</v>
      </c>
      <c r="C40" s="82" t="s">
        <v>249</v>
      </c>
      <c r="D40" s="82" t="s">
        <v>250</v>
      </c>
      <c r="E40" s="82" t="s">
        <v>251</v>
      </c>
      <c r="F40" s="82" t="s">
        <v>159</v>
      </c>
      <c r="G40" s="82" t="s">
        <v>160</v>
      </c>
      <c r="H40" s="83" t="s">
        <v>108</v>
      </c>
      <c r="I40" s="83" t="s">
        <v>109</v>
      </c>
      <c r="J40" s="82" t="s">
        <v>161</v>
      </c>
      <c r="K40" s="84" t="n">
        <v>46077</v>
      </c>
      <c r="L40" s="84" t="n">
        <v>46113</v>
      </c>
      <c r="M40" s="81" t="n">
        <f aca="false">IF(AND(L40&lt;&gt;"",Z40="Open"),L40-Settings!$C$13,"")</f>
        <v>25</v>
      </c>
      <c r="N40" s="81" t="str">
        <f aca="false">IF(Z40&lt;&gt;"Open","",IF(L40="","",IF(L40&lt;Settings!$C$13,"OVERDUE",IF(L40&lt;=Settings!$C$13+Settings!C9,"AT RISK","OK"))))</f>
        <v>OK</v>
      </c>
      <c r="O40" s="83" t="s">
        <v>109</v>
      </c>
      <c r="P40" s="81"/>
      <c r="Q40" s="85" t="n">
        <v>11500</v>
      </c>
      <c r="R40" s="85"/>
      <c r="S40" s="85"/>
      <c r="T40" s="85" t="str">
        <f aca="false">IF(AND(Q40&gt;0,R40&gt;0),Q40-R40,"")</f>
        <v/>
      </c>
      <c r="U40" s="86" t="str">
        <f aca="false">IFERROR(IF(AND(Q40&gt;0,R40&gt;0),(Q40-R40)/Q40,""),"")</f>
        <v/>
      </c>
      <c r="V40" s="82"/>
      <c r="W40" s="84"/>
      <c r="X40" s="81" t="str">
        <f aca="false">IF(AND(K40&lt;&gt;"",W40&lt;&gt;""),W40-K40,"")</f>
        <v/>
      </c>
      <c r="Y40" s="81" t="str">
        <f aca="false">IF(AND(X40&lt;&gt;"",X40&gt;0),IF(X40&lt;=Settings!C8,"Yes","No"),"")</f>
        <v/>
      </c>
      <c r="Z40" s="83" t="s">
        <v>127</v>
      </c>
      <c r="AA40" s="87"/>
      <c r="AB40" s="88" t="str">
        <f aca="false">IF(Z40&lt;&gt;"Closed","",IF(P40&gt;=Settings!$C$10,"OK","LOW"))</f>
        <v/>
      </c>
    </row>
    <row r="41" customFormat="false" ht="15.75" hidden="false" customHeight="true" outlineLevel="0" collapsed="false">
      <c r="B41" s="89" t="n">
        <f aca="false">IF(C41&lt;&gt;"",ROW()-11,"")</f>
        <v>30</v>
      </c>
      <c r="C41" s="90" t="s">
        <v>252</v>
      </c>
      <c r="D41" s="90" t="s">
        <v>253</v>
      </c>
      <c r="E41" s="90" t="s">
        <v>254</v>
      </c>
      <c r="F41" s="90" t="s">
        <v>144</v>
      </c>
      <c r="G41" s="90" t="s">
        <v>63</v>
      </c>
      <c r="H41" s="91" t="s">
        <v>139</v>
      </c>
      <c r="I41" s="91" t="s">
        <v>109</v>
      </c>
      <c r="J41" s="90" t="s">
        <v>110</v>
      </c>
      <c r="K41" s="92" t="n">
        <v>45963</v>
      </c>
      <c r="L41" s="92" t="n">
        <v>45993</v>
      </c>
      <c r="M41" s="89" t="str">
        <f aca="false">IF(AND(L41&lt;&gt;"",Z41="Open"),L41-Settings!$C$13,"")</f>
        <v/>
      </c>
      <c r="N41" s="89" t="str">
        <f aca="false">IF(Z41&lt;&gt;"Open","",IF(L41="","",IF(L41&lt;Settings!$C$13,"OVERDUE",IF(L41&lt;=Settings!$C$13+Settings!C9,"AT RISK","OK"))))</f>
        <v/>
      </c>
      <c r="O41" s="91" t="s">
        <v>111</v>
      </c>
      <c r="P41" s="89" t="n">
        <v>3</v>
      </c>
      <c r="Q41" s="93" t="n">
        <v>16500</v>
      </c>
      <c r="R41" s="93" t="n">
        <v>15600</v>
      </c>
      <c r="S41" s="93" t="n">
        <v>17200</v>
      </c>
      <c r="T41" s="93" t="n">
        <f aca="false">IF(AND(Q41&gt;0,R41&gt;0),Q41-R41,"")</f>
        <v>900</v>
      </c>
      <c r="U41" s="94" t="n">
        <f aca="false">IFERROR(IF(AND(Q41&gt;0,R41&gt;0),(Q41-R41)/Q41,""),"")</f>
        <v>0.0545454545454545</v>
      </c>
      <c r="V41" s="90" t="s">
        <v>110</v>
      </c>
      <c r="W41" s="92" t="n">
        <v>46003</v>
      </c>
      <c r="X41" s="89" t="n">
        <f aca="false">IF(AND(K41&lt;&gt;"",W41&lt;&gt;""),W41-K41,"")</f>
        <v>40</v>
      </c>
      <c r="Y41" s="89" t="str">
        <f aca="false">IF(AND(X41&lt;&gt;"",X41&gt;0),IF(X41&lt;=Settings!C8,"Yes","No"),"")</f>
        <v>Yes</v>
      </c>
      <c r="Z41" s="91" t="s">
        <v>112</v>
      </c>
      <c r="AA41" s="95"/>
      <c r="AB41" s="88" t="str">
        <f aca="false">IF(Z41&lt;&gt;"Closed","",IF(P41&gt;=Settings!$C$10,"OK","LOW"))</f>
        <v>LOW</v>
      </c>
    </row>
    <row r="42" customFormat="false" ht="15.75" hidden="false" customHeight="true" outlineLevel="0" collapsed="false">
      <c r="B42" s="81" t="n">
        <f aca="false">IF(C42&lt;&gt;"",ROW()-11,"")</f>
        <v>31</v>
      </c>
      <c r="C42" s="82" t="s">
        <v>255</v>
      </c>
      <c r="D42" s="82" t="s">
        <v>256</v>
      </c>
      <c r="E42" s="82" t="s">
        <v>257</v>
      </c>
      <c r="F42" s="82" t="s">
        <v>107</v>
      </c>
      <c r="G42" s="82" t="s">
        <v>160</v>
      </c>
      <c r="H42" s="83" t="s">
        <v>108</v>
      </c>
      <c r="I42" s="83" t="s">
        <v>111</v>
      </c>
      <c r="J42" s="82" t="s">
        <v>258</v>
      </c>
      <c r="K42" s="84" t="n">
        <v>45953</v>
      </c>
      <c r="L42" s="84" t="n">
        <v>45983</v>
      </c>
      <c r="M42" s="81" t="str">
        <f aca="false">IF(AND(L42&lt;&gt;"",Z42="Open"),L42-Settings!$C$13,"")</f>
        <v/>
      </c>
      <c r="N42" s="81" t="str">
        <f aca="false">IF(Z42&lt;&gt;"Open","",IF(L42="","",IF(L42&lt;Settings!$C$13,"OVERDUE",IF(L42&lt;=Settings!$C$13+Settings!C9,"AT RISK","OK"))))</f>
        <v/>
      </c>
      <c r="O42" s="83" t="s">
        <v>111</v>
      </c>
      <c r="P42" s="81" t="n">
        <v>2</v>
      </c>
      <c r="Q42" s="85" t="n">
        <v>6000</v>
      </c>
      <c r="R42" s="85" t="n">
        <v>5800</v>
      </c>
      <c r="S42" s="85" t="n">
        <v>6400</v>
      </c>
      <c r="T42" s="85" t="n">
        <f aca="false">IF(AND(Q42&gt;0,R42&gt;0),Q42-R42,"")</f>
        <v>200</v>
      </c>
      <c r="U42" s="86" t="n">
        <f aca="false">IFERROR(IF(AND(Q42&gt;0,R42&gt;0),(Q42-R42)/Q42,""),"")</f>
        <v>0.0333333333333333</v>
      </c>
      <c r="V42" s="82" t="s">
        <v>258</v>
      </c>
      <c r="W42" s="84" t="n">
        <v>45993</v>
      </c>
      <c r="X42" s="81" t="n">
        <f aca="false">IF(AND(K42&lt;&gt;"",W42&lt;&gt;""),W42-K42,"")</f>
        <v>40</v>
      </c>
      <c r="Y42" s="81" t="str">
        <f aca="false">IF(AND(X42&lt;&gt;"",X42&gt;0),IF(X42&lt;=Settings!C8,"Yes","No"),"")</f>
        <v>Yes</v>
      </c>
      <c r="Z42" s="83" t="s">
        <v>112</v>
      </c>
      <c r="AA42" s="87" t="s">
        <v>259</v>
      </c>
      <c r="AB42" s="88" t="str">
        <f aca="false">IF(Z42&lt;&gt;"Closed","",IF(P42&gt;=Settings!$C$10,"OK","LOW"))</f>
        <v>LOW</v>
      </c>
    </row>
    <row r="43" customFormat="false" ht="15.75" hidden="false" customHeight="true" outlineLevel="0" collapsed="false">
      <c r="B43" s="89" t="n">
        <f aca="false">IF(C43&lt;&gt;"",ROW()-11,"")</f>
        <v>32</v>
      </c>
      <c r="C43" s="90" t="s">
        <v>260</v>
      </c>
      <c r="D43" s="90" t="s">
        <v>261</v>
      </c>
      <c r="E43" s="90" t="s">
        <v>262</v>
      </c>
      <c r="F43" s="90" t="s">
        <v>117</v>
      </c>
      <c r="G43" s="90" t="s">
        <v>173</v>
      </c>
      <c r="H43" s="91" t="s">
        <v>125</v>
      </c>
      <c r="I43" s="91" t="s">
        <v>111</v>
      </c>
      <c r="J43" s="90" t="s">
        <v>263</v>
      </c>
      <c r="K43" s="92" t="n">
        <v>45943</v>
      </c>
      <c r="L43" s="92" t="n">
        <v>45973</v>
      </c>
      <c r="M43" s="89" t="str">
        <f aca="false">IF(AND(L43&lt;&gt;"",Z43="Open"),L43-Settings!$C$13,"")</f>
        <v/>
      </c>
      <c r="N43" s="89" t="str">
        <f aca="false">IF(Z43&lt;&gt;"Open","",IF(L43="","",IF(L43&lt;Settings!$C$13,"OVERDUE",IF(L43&lt;=Settings!$C$13+Settings!C9,"AT RISK","OK"))))</f>
        <v/>
      </c>
      <c r="O43" s="91" t="s">
        <v>111</v>
      </c>
      <c r="P43" s="89" t="n">
        <v>2</v>
      </c>
      <c r="Q43" s="93" t="n">
        <v>70000</v>
      </c>
      <c r="R43" s="93" t="n">
        <v>68500</v>
      </c>
      <c r="S43" s="93" t="n">
        <v>73200</v>
      </c>
      <c r="T43" s="93" t="n">
        <f aca="false">IF(AND(Q43&gt;0,R43&gt;0),Q43-R43,"")</f>
        <v>1500</v>
      </c>
      <c r="U43" s="94" t="n">
        <f aca="false">IFERROR(IF(AND(Q43&gt;0,R43&gt;0),(Q43-R43)/Q43,""),"")</f>
        <v>0.0214285714285714</v>
      </c>
      <c r="V43" s="90" t="s">
        <v>263</v>
      </c>
      <c r="W43" s="92" t="n">
        <v>45983</v>
      </c>
      <c r="X43" s="89" t="n">
        <f aca="false">IF(AND(K43&lt;&gt;"",W43&lt;&gt;""),W43-K43,"")</f>
        <v>40</v>
      </c>
      <c r="Y43" s="89" t="str">
        <f aca="false">IF(AND(X43&lt;&gt;"",X43&gt;0),IF(X43&lt;=Settings!C8,"Yes","No"),"")</f>
        <v>Yes</v>
      </c>
      <c r="Z43" s="91" t="s">
        <v>112</v>
      </c>
      <c r="AA43" s="95" t="s">
        <v>264</v>
      </c>
      <c r="AB43" s="88" t="str">
        <f aca="false">IF(Z43&lt;&gt;"Closed","",IF(P43&gt;=Settings!$C$10,"OK","LOW"))</f>
        <v>LOW</v>
      </c>
    </row>
    <row r="44" customFormat="false" ht="15.75" hidden="false" customHeight="true" outlineLevel="0" collapsed="false">
      <c r="B44" s="81" t="n">
        <f aca="false">IF(C44&lt;&gt;"",ROW()-11,"")</f>
        <v>33</v>
      </c>
      <c r="C44" s="82" t="s">
        <v>265</v>
      </c>
      <c r="D44" s="82" t="s">
        <v>266</v>
      </c>
      <c r="E44" s="82" t="s">
        <v>267</v>
      </c>
      <c r="F44" s="82" t="s">
        <v>166</v>
      </c>
      <c r="G44" s="82" t="s">
        <v>70</v>
      </c>
      <c r="H44" s="83" t="s">
        <v>139</v>
      </c>
      <c r="I44" s="83" t="s">
        <v>109</v>
      </c>
      <c r="J44" s="82" t="s">
        <v>155</v>
      </c>
      <c r="K44" s="84" t="n">
        <v>46063</v>
      </c>
      <c r="L44" s="84" t="n">
        <v>46088</v>
      </c>
      <c r="M44" s="81" t="n">
        <f aca="false">IF(AND(L44&lt;&gt;"",Z44="Open"),L44-Settings!$C$13,"")</f>
        <v>0</v>
      </c>
      <c r="N44" s="81" t="str">
        <f aca="false">IF(Z44&lt;&gt;"Open","",IF(L44="","",IF(L44&lt;Settings!$C$13,"OVERDUE",IF(L44&lt;=Settings!$C$13+Settings!C9,"AT RISK","OK"))))</f>
        <v>AT RISK</v>
      </c>
      <c r="O44" s="83" t="s">
        <v>111</v>
      </c>
      <c r="P44" s="81" t="n">
        <v>4</v>
      </c>
      <c r="Q44" s="85" t="n">
        <v>2100</v>
      </c>
      <c r="R44" s="85" t="n">
        <v>1950</v>
      </c>
      <c r="S44" s="85" t="n">
        <v>2200</v>
      </c>
      <c r="T44" s="85" t="n">
        <f aca="false">IF(AND(Q44&gt;0,R44&gt;0),Q44-R44,"")</f>
        <v>150</v>
      </c>
      <c r="U44" s="86" t="n">
        <f aca="false">IFERROR(IF(AND(Q44&gt;0,R44&gt;0),(Q44-R44)/Q44,""),"")</f>
        <v>0.0714285714285714</v>
      </c>
      <c r="V44" s="82"/>
      <c r="W44" s="84"/>
      <c r="X44" s="81" t="str">
        <f aca="false">IF(AND(K44&lt;&gt;"",W44&lt;&gt;""),W44-K44,"")</f>
        <v/>
      </c>
      <c r="Y44" s="81" t="str">
        <f aca="false">IF(AND(X44&lt;&gt;"",X44&gt;0),IF(X44&lt;=Settings!C8,"Yes","No"),"")</f>
        <v/>
      </c>
      <c r="Z44" s="83" t="s">
        <v>127</v>
      </c>
      <c r="AA44" s="87" t="s">
        <v>268</v>
      </c>
      <c r="AB44" s="88" t="str">
        <f aca="false">IF(Z44&lt;&gt;"Closed","",IF(P44&gt;=Settings!$C$10,"OK","LOW"))</f>
        <v/>
      </c>
    </row>
    <row r="45" customFormat="false" ht="15.75" hidden="false" customHeight="true" outlineLevel="0" collapsed="false">
      <c r="B45" s="89" t="n">
        <f aca="false">IF(C45&lt;&gt;"",ROW()-11,"")</f>
        <v>34</v>
      </c>
      <c r="C45" s="90" t="s">
        <v>269</v>
      </c>
      <c r="D45" s="90" t="s">
        <v>270</v>
      </c>
      <c r="E45" s="90" t="s">
        <v>271</v>
      </c>
      <c r="F45" s="90" t="s">
        <v>124</v>
      </c>
      <c r="G45" s="90" t="s">
        <v>183</v>
      </c>
      <c r="H45" s="91" t="s">
        <v>108</v>
      </c>
      <c r="I45" s="91" t="s">
        <v>111</v>
      </c>
      <c r="J45" s="90" t="s">
        <v>184</v>
      </c>
      <c r="K45" s="92" t="n">
        <v>45933</v>
      </c>
      <c r="L45" s="92" t="n">
        <v>45963</v>
      </c>
      <c r="M45" s="89" t="str">
        <f aca="false">IF(AND(L45&lt;&gt;"",Z45="Open"),L45-Settings!$C$13,"")</f>
        <v/>
      </c>
      <c r="N45" s="89" t="str">
        <f aca="false">IF(Z45&lt;&gt;"Open","",IF(L45="","",IF(L45&lt;Settings!$C$13,"OVERDUE",IF(L45&lt;=Settings!$C$13+Settings!C9,"AT RISK","OK"))))</f>
        <v/>
      </c>
      <c r="O45" s="91" t="s">
        <v>111</v>
      </c>
      <c r="P45" s="89" t="n">
        <v>1</v>
      </c>
      <c r="Q45" s="93" t="n">
        <v>20000</v>
      </c>
      <c r="R45" s="93" t="n">
        <v>22000</v>
      </c>
      <c r="S45" s="93"/>
      <c r="T45" s="93" t="n">
        <f aca="false">IF(AND(Q45&gt;0,R45&gt;0),Q45-R45,"")</f>
        <v>-2000</v>
      </c>
      <c r="U45" s="94" t="n">
        <f aca="false">IFERROR(IF(AND(Q45&gt;0,R45&gt;0),(Q45-R45)/Q45,""),"")</f>
        <v>-0.1</v>
      </c>
      <c r="V45" s="90" t="s">
        <v>184</v>
      </c>
      <c r="W45" s="92" t="n">
        <v>45973</v>
      </c>
      <c r="X45" s="89" t="n">
        <f aca="false">IF(AND(K45&lt;&gt;"",W45&lt;&gt;""),W45-K45,"")</f>
        <v>40</v>
      </c>
      <c r="Y45" s="89" t="str">
        <f aca="false">IF(AND(X45&lt;&gt;"",X45&gt;0),IF(X45&lt;=Settings!C8,"Yes","No"),"")</f>
        <v>Yes</v>
      </c>
      <c r="Z45" s="91" t="s">
        <v>112</v>
      </c>
      <c r="AA45" s="95" t="s">
        <v>272</v>
      </c>
      <c r="AB45" s="88" t="str">
        <f aca="false">IF(Z45&lt;&gt;"Closed","",IF(P45&gt;=Settings!$C$10,"OK","LOW"))</f>
        <v>LOW</v>
      </c>
    </row>
    <row r="46" customFormat="false" ht="15.75" hidden="false" customHeight="true" outlineLevel="0" collapsed="false">
      <c r="B46" s="81" t="n">
        <f aca="false">IF(C46&lt;&gt;"",ROW()-11,"")</f>
        <v>35</v>
      </c>
      <c r="C46" s="82" t="s">
        <v>273</v>
      </c>
      <c r="D46" s="82" t="s">
        <v>274</v>
      </c>
      <c r="E46" s="82" t="s">
        <v>275</v>
      </c>
      <c r="F46" s="82" t="s">
        <v>159</v>
      </c>
      <c r="G46" s="82" t="s">
        <v>215</v>
      </c>
      <c r="H46" s="83" t="s">
        <v>125</v>
      </c>
      <c r="I46" s="83" t="s">
        <v>109</v>
      </c>
      <c r="J46" s="82" t="s">
        <v>150</v>
      </c>
      <c r="K46" s="84" t="n">
        <v>45923</v>
      </c>
      <c r="L46" s="84" t="n">
        <v>45953</v>
      </c>
      <c r="M46" s="81" t="str">
        <f aca="false">IF(AND(L46&lt;&gt;"",Z46="Open"),L46-Settings!$C$13,"")</f>
        <v/>
      </c>
      <c r="N46" s="81" t="str">
        <f aca="false">IF(Z46&lt;&gt;"Open","",IF(L46="","",IF(L46&lt;Settings!$C$13,"OVERDUE",IF(L46&lt;=Settings!$C$13+Settings!C9,"AT RISK","OK"))))</f>
        <v/>
      </c>
      <c r="O46" s="83" t="s">
        <v>111</v>
      </c>
      <c r="P46" s="81" t="n">
        <v>3</v>
      </c>
      <c r="Q46" s="85" t="n">
        <v>39000</v>
      </c>
      <c r="R46" s="85" t="n">
        <v>37800</v>
      </c>
      <c r="S46" s="85" t="n">
        <v>41000</v>
      </c>
      <c r="T46" s="85" t="n">
        <f aca="false">IF(AND(Q46&gt;0,R46&gt;0),Q46-R46,"")</f>
        <v>1200</v>
      </c>
      <c r="U46" s="86" t="n">
        <f aca="false">IFERROR(IF(AND(Q46&gt;0,R46&gt;0),(Q46-R46)/Q46,""),"")</f>
        <v>0.0307692307692308</v>
      </c>
      <c r="V46" s="82" t="s">
        <v>150</v>
      </c>
      <c r="W46" s="84" t="n">
        <v>45963</v>
      </c>
      <c r="X46" s="81" t="n">
        <f aca="false">IF(AND(K46&lt;&gt;"",W46&lt;&gt;""),W46-K46,"")</f>
        <v>40</v>
      </c>
      <c r="Y46" s="81" t="str">
        <f aca="false">IF(AND(X46&lt;&gt;"",X46&gt;0),IF(X46&lt;=Settings!C8,"Yes","No"),"")</f>
        <v>Yes</v>
      </c>
      <c r="Z46" s="83" t="s">
        <v>112</v>
      </c>
      <c r="AA46" s="87"/>
      <c r="AB46" s="88" t="str">
        <f aca="false">IF(Z46&lt;&gt;"Closed","",IF(P46&gt;=Settings!$C$10,"OK","LOW"))</f>
        <v>LOW</v>
      </c>
    </row>
    <row r="47" customFormat="false" ht="15.75" hidden="false" customHeight="true" outlineLevel="0" collapsed="false">
      <c r="B47" s="89" t="n">
        <f aca="false">IF(C47&lt;&gt;"",ROW()-11,"")</f>
        <v>36</v>
      </c>
      <c r="C47" s="90" t="s">
        <v>276</v>
      </c>
      <c r="D47" s="90" t="s">
        <v>277</v>
      </c>
      <c r="E47" s="90" t="s">
        <v>278</v>
      </c>
      <c r="F47" s="90" t="s">
        <v>132</v>
      </c>
      <c r="G47" s="90" t="s">
        <v>173</v>
      </c>
      <c r="H47" s="91" t="s">
        <v>139</v>
      </c>
      <c r="I47" s="91" t="s">
        <v>109</v>
      </c>
      <c r="J47" s="90" t="s">
        <v>174</v>
      </c>
      <c r="K47" s="92" t="n">
        <v>46074</v>
      </c>
      <c r="L47" s="92" t="n">
        <v>46105</v>
      </c>
      <c r="M47" s="89" t="n">
        <f aca="false">IF(AND(L47&lt;&gt;"",Z47="Open"),L47-Settings!$C$13,"")</f>
        <v>17</v>
      </c>
      <c r="N47" s="89" t="str">
        <f aca="false">IF(Z47&lt;&gt;"Open","",IF(L47="","",IF(L47&lt;Settings!$C$13,"OVERDUE",IF(L47&lt;=Settings!$C$13+Settings!C9,"AT RISK","OK"))))</f>
        <v>OK</v>
      </c>
      <c r="O47" s="91" t="s">
        <v>109</v>
      </c>
      <c r="P47" s="89"/>
      <c r="Q47" s="93" t="n">
        <v>8800</v>
      </c>
      <c r="R47" s="93"/>
      <c r="S47" s="93"/>
      <c r="T47" s="93" t="str">
        <f aca="false">IF(AND(Q47&gt;0,R47&gt;0),Q47-R47,"")</f>
        <v/>
      </c>
      <c r="U47" s="94" t="str">
        <f aca="false">IFERROR(IF(AND(Q47&gt;0,R47&gt;0),(Q47-R47)/Q47,""),"")</f>
        <v/>
      </c>
      <c r="V47" s="90"/>
      <c r="W47" s="92"/>
      <c r="X47" s="89" t="str">
        <f aca="false">IF(AND(K47&lt;&gt;"",W47&lt;&gt;""),W47-K47,"")</f>
        <v/>
      </c>
      <c r="Y47" s="89" t="str">
        <f aca="false">IF(AND(X47&lt;&gt;"",X47&gt;0),IF(X47&lt;=Settings!C8,"Yes","No"),"")</f>
        <v/>
      </c>
      <c r="Z47" s="91" t="s">
        <v>127</v>
      </c>
      <c r="AA47" s="95"/>
      <c r="AB47" s="88" t="str">
        <f aca="false">IF(Z47&lt;&gt;"Closed","",IF(P47&gt;=Settings!$C$10,"OK","LOW"))</f>
        <v/>
      </c>
    </row>
    <row r="48" customFormat="false" ht="15.75" hidden="false" customHeight="true" outlineLevel="0" collapsed="false">
      <c r="B48" s="81" t="n">
        <f aca="false">IF(C48&lt;&gt;"",ROW()-11,"")</f>
        <v>37</v>
      </c>
      <c r="C48" s="82" t="s">
        <v>279</v>
      </c>
      <c r="D48" s="82" t="s">
        <v>280</v>
      </c>
      <c r="E48" s="82" t="s">
        <v>281</v>
      </c>
      <c r="F48" s="82" t="s">
        <v>107</v>
      </c>
      <c r="G48" s="82" t="s">
        <v>173</v>
      </c>
      <c r="H48" s="83" t="s">
        <v>108</v>
      </c>
      <c r="I48" s="83" t="s">
        <v>111</v>
      </c>
      <c r="J48" s="82" t="s">
        <v>282</v>
      </c>
      <c r="K48" s="84" t="n">
        <v>45913</v>
      </c>
      <c r="L48" s="84" t="n">
        <v>45943</v>
      </c>
      <c r="M48" s="81" t="str">
        <f aca="false">IF(AND(L48&lt;&gt;"",Z48="Open"),L48-Settings!$C$13,"")</f>
        <v/>
      </c>
      <c r="N48" s="81" t="str">
        <f aca="false">IF(Z48&lt;&gt;"Open","",IF(L48="","",IF(L48&lt;Settings!$C$13,"OVERDUE",IF(L48&lt;=Settings!$C$13+Settings!C9,"AT RISK","OK"))))</f>
        <v/>
      </c>
      <c r="O48" s="83" t="s">
        <v>111</v>
      </c>
      <c r="P48" s="81" t="n">
        <v>2</v>
      </c>
      <c r="Q48" s="85" t="n">
        <v>15000</v>
      </c>
      <c r="R48" s="85" t="n">
        <v>14200</v>
      </c>
      <c r="S48" s="85" t="n">
        <v>15800</v>
      </c>
      <c r="T48" s="85" t="n">
        <f aca="false">IF(AND(Q48&gt;0,R48&gt;0),Q48-R48,"")</f>
        <v>800</v>
      </c>
      <c r="U48" s="86" t="n">
        <f aca="false">IFERROR(IF(AND(Q48&gt;0,R48&gt;0),(Q48-R48)/Q48,""),"")</f>
        <v>0.0533333333333333</v>
      </c>
      <c r="V48" s="82" t="s">
        <v>282</v>
      </c>
      <c r="W48" s="84" t="n">
        <v>45953</v>
      </c>
      <c r="X48" s="81" t="n">
        <f aca="false">IF(AND(K48&lt;&gt;"",W48&lt;&gt;""),W48-K48,"")</f>
        <v>40</v>
      </c>
      <c r="Y48" s="81" t="str">
        <f aca="false">IF(AND(X48&lt;&gt;"",X48&gt;0),IF(X48&lt;=Settings!C8,"Yes","No"),"")</f>
        <v>Yes</v>
      </c>
      <c r="Z48" s="83" t="s">
        <v>112</v>
      </c>
      <c r="AA48" s="87" t="s">
        <v>283</v>
      </c>
      <c r="AB48" s="88" t="str">
        <f aca="false">IF(Z48&lt;&gt;"Closed","",IF(P48&gt;=Settings!$C$10,"OK","LOW"))</f>
        <v>LOW</v>
      </c>
    </row>
    <row r="49" customFormat="false" ht="15.75" hidden="false" customHeight="true" outlineLevel="0" collapsed="false">
      <c r="B49" s="89" t="n">
        <f aca="false">IF(C49&lt;&gt;"",ROW()-11,"")</f>
        <v>38</v>
      </c>
      <c r="C49" s="90" t="s">
        <v>284</v>
      </c>
      <c r="D49" s="90" t="s">
        <v>285</v>
      </c>
      <c r="E49" s="90" t="s">
        <v>286</v>
      </c>
      <c r="F49" s="90" t="s">
        <v>144</v>
      </c>
      <c r="G49" s="90" t="s">
        <v>193</v>
      </c>
      <c r="H49" s="91" t="s">
        <v>125</v>
      </c>
      <c r="I49" s="91" t="s">
        <v>109</v>
      </c>
      <c r="J49" s="90" t="s">
        <v>194</v>
      </c>
      <c r="K49" s="92" t="n">
        <v>45903</v>
      </c>
      <c r="L49" s="92" t="n">
        <v>45933</v>
      </c>
      <c r="M49" s="89" t="str">
        <f aca="false">IF(AND(L49&lt;&gt;"",Z49="Open"),L49-Settings!$C$13,"")</f>
        <v/>
      </c>
      <c r="N49" s="89" t="str">
        <f aca="false">IF(Z49&lt;&gt;"Open","",IF(L49="","",IF(L49&lt;Settings!$C$13,"OVERDUE",IF(L49&lt;=Settings!$C$13+Settings!C9,"AT RISK","OK"))))</f>
        <v/>
      </c>
      <c r="O49" s="91" t="s">
        <v>111</v>
      </c>
      <c r="P49" s="89" t="n">
        <v>3</v>
      </c>
      <c r="Q49" s="93" t="n">
        <v>92000</v>
      </c>
      <c r="R49" s="93" t="n">
        <v>89000</v>
      </c>
      <c r="S49" s="93" t="n">
        <v>96500</v>
      </c>
      <c r="T49" s="93" t="n">
        <f aca="false">IF(AND(Q49&gt;0,R49&gt;0),Q49-R49,"")</f>
        <v>3000</v>
      </c>
      <c r="U49" s="94" t="n">
        <f aca="false">IFERROR(IF(AND(Q49&gt;0,R49&gt;0),(Q49-R49)/Q49,""),"")</f>
        <v>0.0326086956521739</v>
      </c>
      <c r="V49" s="90" t="s">
        <v>194</v>
      </c>
      <c r="W49" s="92" t="n">
        <v>45943</v>
      </c>
      <c r="X49" s="89" t="n">
        <f aca="false">IF(AND(K49&lt;&gt;"",W49&lt;&gt;""),W49-K49,"")</f>
        <v>40</v>
      </c>
      <c r="Y49" s="89" t="str">
        <f aca="false">IF(AND(X49&lt;&gt;"",X49&gt;0),IF(X49&lt;=Settings!C8,"Yes","No"),"")</f>
        <v>Yes</v>
      </c>
      <c r="Z49" s="91" t="s">
        <v>112</v>
      </c>
      <c r="AA49" s="95" t="s">
        <v>287</v>
      </c>
      <c r="AB49" s="88" t="str">
        <f aca="false">IF(Z49&lt;&gt;"Closed","",IF(P49&gt;=Settings!$C$10,"OK","LOW"))</f>
        <v>LOW</v>
      </c>
    </row>
    <row r="50" customFormat="false" ht="15.75" hidden="false" customHeight="true" outlineLevel="0" collapsed="false">
      <c r="B50" s="81" t="n">
        <f aca="false">IF(C50&lt;&gt;"",ROW()-11,"")</f>
        <v>39</v>
      </c>
      <c r="C50" s="82" t="s">
        <v>288</v>
      </c>
      <c r="D50" s="82" t="s">
        <v>289</v>
      </c>
      <c r="E50" s="82" t="s">
        <v>290</v>
      </c>
      <c r="F50" s="82" t="s">
        <v>166</v>
      </c>
      <c r="G50" s="82" t="s">
        <v>63</v>
      </c>
      <c r="H50" s="83" t="s">
        <v>125</v>
      </c>
      <c r="I50" s="83" t="s">
        <v>109</v>
      </c>
      <c r="J50" s="82" t="s">
        <v>110</v>
      </c>
      <c r="K50" s="84" t="n">
        <v>46081</v>
      </c>
      <c r="L50" s="84" t="n">
        <v>46128</v>
      </c>
      <c r="M50" s="81" t="n">
        <f aca="false">IF(AND(L50&lt;&gt;"",Z50="Open"),L50-Settings!$C$13,"")</f>
        <v>40</v>
      </c>
      <c r="N50" s="81" t="str">
        <f aca="false">IF(Z50&lt;&gt;"Open","",IF(L50="","",IF(L50&lt;Settings!$C$13,"OVERDUE",IF(L50&lt;=Settings!$C$13+Settings!C9,"AT RISK","OK"))))</f>
        <v>OK</v>
      </c>
      <c r="O50" s="83" t="s">
        <v>109</v>
      </c>
      <c r="P50" s="81"/>
      <c r="Q50" s="85" t="n">
        <v>24000</v>
      </c>
      <c r="R50" s="85"/>
      <c r="S50" s="85"/>
      <c r="T50" s="85" t="str">
        <f aca="false">IF(AND(Q50&gt;0,R50&gt;0),Q50-R50,"")</f>
        <v/>
      </c>
      <c r="U50" s="86" t="str">
        <f aca="false">IFERROR(IF(AND(Q50&gt;0,R50&gt;0),(Q50-R50)/Q50,""),"")</f>
        <v/>
      </c>
      <c r="V50" s="82"/>
      <c r="W50" s="84"/>
      <c r="X50" s="81" t="str">
        <f aca="false">IF(AND(K50&lt;&gt;"",W50&lt;&gt;""),W50-K50,"")</f>
        <v/>
      </c>
      <c r="Y50" s="81" t="str">
        <f aca="false">IF(AND(X50&lt;&gt;"",X50&gt;0),IF(X50&lt;=Settings!C8,"Yes","No"),"")</f>
        <v/>
      </c>
      <c r="Z50" s="83" t="s">
        <v>127</v>
      </c>
      <c r="AA50" s="87" t="s">
        <v>291</v>
      </c>
      <c r="AB50" s="88" t="str">
        <f aca="false">IF(Z50&lt;&gt;"Closed","",IF(P50&gt;=Settings!$C$10,"OK","LOW"))</f>
        <v/>
      </c>
    </row>
    <row r="51" customFormat="false" ht="15.75" hidden="false" customHeight="true" outlineLevel="0" collapsed="false">
      <c r="B51" s="89" t="n">
        <f aca="false">IF(C51&lt;&gt;"",ROW()-11,"")</f>
        <v>40</v>
      </c>
      <c r="C51" s="90" t="s">
        <v>292</v>
      </c>
      <c r="D51" s="90" t="s">
        <v>293</v>
      </c>
      <c r="E51" s="90" t="s">
        <v>294</v>
      </c>
      <c r="F51" s="90" t="s">
        <v>159</v>
      </c>
      <c r="G51" s="90" t="s">
        <v>183</v>
      </c>
      <c r="H51" s="91" t="s">
        <v>108</v>
      </c>
      <c r="I51" s="91" t="s">
        <v>111</v>
      </c>
      <c r="J51" s="90" t="s">
        <v>295</v>
      </c>
      <c r="K51" s="92" t="n">
        <v>45893</v>
      </c>
      <c r="L51" s="92" t="n">
        <v>45923</v>
      </c>
      <c r="M51" s="89" t="str">
        <f aca="false">IF(AND(L51&lt;&gt;"",Z51="Open"),L51-Settings!$C$13,"")</f>
        <v/>
      </c>
      <c r="N51" s="89" t="str">
        <f aca="false">IF(Z51&lt;&gt;"Open","",IF(L51="","",IF(L51&lt;Settings!$C$13,"OVERDUE",IF(L51&lt;=Settings!$C$13+Settings!C9,"AT RISK","OK"))))</f>
        <v/>
      </c>
      <c r="O51" s="91" t="s">
        <v>111</v>
      </c>
      <c r="P51" s="89" t="n">
        <v>2</v>
      </c>
      <c r="Q51" s="93" t="n">
        <v>32000</v>
      </c>
      <c r="R51" s="93" t="n">
        <v>31500</v>
      </c>
      <c r="S51" s="93" t="n">
        <v>34000</v>
      </c>
      <c r="T51" s="93" t="n">
        <f aca="false">IF(AND(Q51&gt;0,R51&gt;0),Q51-R51,"")</f>
        <v>500</v>
      </c>
      <c r="U51" s="94" t="n">
        <f aca="false">IFERROR(IF(AND(Q51&gt;0,R51&gt;0),(Q51-R51)/Q51,""),"")</f>
        <v>0.015625</v>
      </c>
      <c r="V51" s="90" t="s">
        <v>295</v>
      </c>
      <c r="W51" s="92" t="n">
        <v>45933</v>
      </c>
      <c r="X51" s="89" t="n">
        <f aca="false">IF(AND(K51&lt;&gt;"",W51&lt;&gt;""),W51-K51,"")</f>
        <v>40</v>
      </c>
      <c r="Y51" s="89" t="str">
        <f aca="false">IF(AND(X51&lt;&gt;"",X51&gt;0),IF(X51&lt;=Settings!C8,"Yes","No"),"")</f>
        <v>Yes</v>
      </c>
      <c r="Z51" s="91" t="s">
        <v>112</v>
      </c>
      <c r="AA51" s="95" t="s">
        <v>296</v>
      </c>
      <c r="AB51" s="88" t="str">
        <f aca="false">IF(Z51&lt;&gt;"Closed","",IF(P51&gt;=Settings!$C$10,"OK","LOW"))</f>
        <v>LOW</v>
      </c>
    </row>
    <row r="52" customFormat="false" ht="15.75" hidden="false" customHeight="true" outlineLevel="0" collapsed="false">
      <c r="B52" s="81" t="n">
        <f aca="false">IF(C52&lt;&gt;"",ROW()-11,"")</f>
        <v>41</v>
      </c>
      <c r="C52" s="82" t="s">
        <v>297</v>
      </c>
      <c r="D52" s="82" t="s">
        <v>298</v>
      </c>
      <c r="E52" s="82" t="s">
        <v>299</v>
      </c>
      <c r="F52" s="82" t="s">
        <v>107</v>
      </c>
      <c r="G52" s="82" t="s">
        <v>69</v>
      </c>
      <c r="H52" s="83" t="s">
        <v>125</v>
      </c>
      <c r="I52" s="83" t="s">
        <v>111</v>
      </c>
      <c r="J52" s="82" t="s">
        <v>150</v>
      </c>
      <c r="K52" s="84" t="n">
        <v>46031</v>
      </c>
      <c r="L52" s="84" t="n">
        <v>46061</v>
      </c>
      <c r="M52" s="81" t="str">
        <f aca="false">IF(AND(L52&lt;&gt;"",Z52="Open"),L52-Settings!$C$13,"")</f>
        <v/>
      </c>
      <c r="N52" s="81" t="str">
        <f aca="false">IF(Z52&lt;&gt;"Open","",IF(L52="","",IF(L52&lt;Settings!$C$13,"OVERDUE",IF(L52&lt;=Settings!$C$13+Settings!C9,"AT RISK","OK"))))</f>
        <v/>
      </c>
      <c r="O52" s="83" t="s">
        <v>111</v>
      </c>
      <c r="P52" s="81" t="n">
        <v>1</v>
      </c>
      <c r="Q52" s="85" t="n">
        <v>88000</v>
      </c>
      <c r="R52" s="85" t="n">
        <v>88000</v>
      </c>
      <c r="S52" s="85"/>
      <c r="T52" s="85" t="n">
        <f aca="false">IF(AND(Q52&gt;0,R52&gt;0),Q52-R52,"")</f>
        <v>0</v>
      </c>
      <c r="U52" s="86" t="n">
        <f aca="false">IFERROR(IF(AND(Q52&gt;0,R52&gt;0),(Q52-R52)/Q52,""),"")</f>
        <v>0</v>
      </c>
      <c r="V52" s="82" t="s">
        <v>150</v>
      </c>
      <c r="W52" s="84" t="n">
        <v>46066</v>
      </c>
      <c r="X52" s="81" t="n">
        <f aca="false">IF(AND(K52&lt;&gt;"",W52&lt;&gt;""),W52-K52,"")</f>
        <v>35</v>
      </c>
      <c r="Y52" s="81" t="str">
        <f aca="false">IF(AND(X52&lt;&gt;"",X52&gt;0),IF(X52&lt;=Settings!C8,"Yes","No"),"")</f>
        <v>Yes</v>
      </c>
      <c r="Z52" s="83" t="s">
        <v>112</v>
      </c>
      <c r="AA52" s="87" t="s">
        <v>300</v>
      </c>
      <c r="AB52" s="88" t="str">
        <f aca="false">IF(Z52&lt;&gt;"Closed","",IF(P52&gt;=Settings!$C$10,"OK","LOW"))</f>
        <v>LOW</v>
      </c>
    </row>
    <row r="53" customFormat="false" ht="15.75" hidden="false" customHeight="true" outlineLevel="0" collapsed="false">
      <c r="B53" s="89" t="n">
        <f aca="false">IF(C53&lt;&gt;"",ROW()-11,"")</f>
        <v>42</v>
      </c>
      <c r="C53" s="90" t="s">
        <v>301</v>
      </c>
      <c r="D53" s="90" t="s">
        <v>302</v>
      </c>
      <c r="E53" s="90" t="s">
        <v>303</v>
      </c>
      <c r="F53" s="90" t="s">
        <v>144</v>
      </c>
      <c r="G53" s="90" t="s">
        <v>63</v>
      </c>
      <c r="H53" s="91" t="s">
        <v>108</v>
      </c>
      <c r="I53" s="91" t="s">
        <v>109</v>
      </c>
      <c r="J53" s="90" t="s">
        <v>304</v>
      </c>
      <c r="K53" s="92" t="n">
        <v>46038</v>
      </c>
      <c r="L53" s="92" t="n">
        <v>46068</v>
      </c>
      <c r="M53" s="89" t="str">
        <f aca="false">IF(AND(L53&lt;&gt;"",Z53="Open"),L53-Settings!$C$13,"")</f>
        <v/>
      </c>
      <c r="N53" s="89" t="str">
        <f aca="false">IF(Z53&lt;&gt;"Open","",IF(L53="","",IF(L53&lt;Settings!$C$13,"OVERDUE",IF(L53&lt;=Settings!$C$13+Settings!C9,"AT RISK","OK"))))</f>
        <v/>
      </c>
      <c r="O53" s="91" t="s">
        <v>111</v>
      </c>
      <c r="P53" s="89" t="n">
        <v>4</v>
      </c>
      <c r="Q53" s="93" t="n">
        <v>32000</v>
      </c>
      <c r="R53" s="93" t="n">
        <v>28500</v>
      </c>
      <c r="S53" s="93" t="n">
        <v>29800</v>
      </c>
      <c r="T53" s="93" t="n">
        <f aca="false">IF(AND(Q53&gt;0,R53&gt;0),Q53-R53,"")</f>
        <v>3500</v>
      </c>
      <c r="U53" s="94" t="n">
        <f aca="false">IFERROR(IF(AND(Q53&gt;0,R53&gt;0),(Q53-R53)/Q53,""),"")</f>
        <v>0.109375</v>
      </c>
      <c r="V53" s="90" t="s">
        <v>304</v>
      </c>
      <c r="W53" s="92" t="n">
        <v>46074</v>
      </c>
      <c r="X53" s="89" t="n">
        <f aca="false">IF(AND(K53&lt;&gt;"",W53&lt;&gt;""),W53-K53,"")</f>
        <v>36</v>
      </c>
      <c r="Y53" s="89" t="str">
        <f aca="false">IF(AND(X53&lt;&gt;"",X53&gt;0),IF(X53&lt;=Settings!C8,"Yes","No"),"")</f>
        <v>Yes</v>
      </c>
      <c r="Z53" s="91" t="s">
        <v>112</v>
      </c>
      <c r="AA53" s="95" t="s">
        <v>305</v>
      </c>
      <c r="AB53" s="88" t="str">
        <f aca="false">IF(Z53&lt;&gt;"Closed","",IF(P53&gt;=Settings!$C$10,"OK","LOW"))</f>
        <v>LOW</v>
      </c>
    </row>
    <row r="54" customFormat="false" ht="15.75" hidden="false" customHeight="true" outlineLevel="0" collapsed="false">
      <c r="B54" s="81" t="n">
        <f aca="false">IF(C54&lt;&gt;"",ROW()-11,"")</f>
        <v>43</v>
      </c>
      <c r="C54" s="82" t="s">
        <v>306</v>
      </c>
      <c r="D54" s="82" t="s">
        <v>307</v>
      </c>
      <c r="E54" s="82" t="s">
        <v>308</v>
      </c>
      <c r="F54" s="82" t="s">
        <v>132</v>
      </c>
      <c r="G54" s="82" t="s">
        <v>66</v>
      </c>
      <c r="H54" s="83" t="s">
        <v>139</v>
      </c>
      <c r="I54" s="83" t="s">
        <v>109</v>
      </c>
      <c r="J54" s="82" t="s">
        <v>309</v>
      </c>
      <c r="K54" s="84" t="n">
        <v>46044</v>
      </c>
      <c r="L54" s="84" t="n">
        <v>46072</v>
      </c>
      <c r="M54" s="81" t="str">
        <f aca="false">IF(AND(L54&lt;&gt;"",Z54="Open"),L54-Settings!$C$13,"")</f>
        <v/>
      </c>
      <c r="N54" s="81" t="str">
        <f aca="false">IF(Z54&lt;&gt;"Open","",IF(L54="","",IF(L54&lt;Settings!$C$13,"OVERDUE",IF(L54&lt;=Settings!$C$13+Settings!C9,"AT RISK","OK"))))</f>
        <v/>
      </c>
      <c r="O54" s="83" t="s">
        <v>111</v>
      </c>
      <c r="P54" s="81" t="n">
        <v>2</v>
      </c>
      <c r="Q54" s="85" t="n">
        <v>6800</v>
      </c>
      <c r="R54" s="85" t="n">
        <v>6650</v>
      </c>
      <c r="S54" s="85" t="n">
        <v>7100</v>
      </c>
      <c r="T54" s="85" t="n">
        <f aca="false">IF(AND(Q54&gt;0,R54&gt;0),Q54-R54,"")</f>
        <v>150</v>
      </c>
      <c r="U54" s="86" t="n">
        <f aca="false">IFERROR(IF(AND(Q54&gt;0,R54&gt;0),(Q54-R54)/Q54,""),"")</f>
        <v>0.0220588235294118</v>
      </c>
      <c r="V54" s="82" t="s">
        <v>309</v>
      </c>
      <c r="W54" s="84" t="n">
        <v>46078</v>
      </c>
      <c r="X54" s="81" t="n">
        <f aca="false">IF(AND(K54&lt;&gt;"",W54&lt;&gt;""),W54-K54,"")</f>
        <v>34</v>
      </c>
      <c r="Y54" s="81" t="str">
        <f aca="false">IF(AND(X54&lt;&gt;"",X54&gt;0),IF(X54&lt;=Settings!C8,"Yes","No"),"")</f>
        <v>Yes</v>
      </c>
      <c r="Z54" s="83" t="s">
        <v>112</v>
      </c>
      <c r="AA54" s="87" t="s">
        <v>310</v>
      </c>
      <c r="AB54" s="88" t="str">
        <f aca="false">IF(Z54&lt;&gt;"Closed","",IF(P54&gt;=Settings!$C$10,"OK","LOW"))</f>
        <v>LOW</v>
      </c>
    </row>
    <row r="55" customFormat="false" ht="15.75" hidden="false" customHeight="true" outlineLevel="0" collapsed="false">
      <c r="B55" s="89" t="n">
        <f aca="false">IF(C55&lt;&gt;"",ROW()-11,"")</f>
        <v>44</v>
      </c>
      <c r="C55" s="90" t="s">
        <v>311</v>
      </c>
      <c r="D55" s="90" t="s">
        <v>312</v>
      </c>
      <c r="E55" s="90" t="s">
        <v>313</v>
      </c>
      <c r="F55" s="90" t="s">
        <v>159</v>
      </c>
      <c r="G55" s="90" t="s">
        <v>183</v>
      </c>
      <c r="H55" s="91" t="s">
        <v>108</v>
      </c>
      <c r="I55" s="91" t="s">
        <v>109</v>
      </c>
      <c r="J55" s="90" t="s">
        <v>184</v>
      </c>
      <c r="K55" s="92" t="n">
        <v>46026</v>
      </c>
      <c r="L55" s="92" t="n">
        <v>46056</v>
      </c>
      <c r="M55" s="89" t="str">
        <f aca="false">IF(AND(L55&lt;&gt;"",Z55="Open"),L55-Settings!$C$13,"")</f>
        <v/>
      </c>
      <c r="N55" s="89" t="str">
        <f aca="false">IF(Z55&lt;&gt;"Open","",IF(L55="","",IF(L55&lt;Settings!$C$13,"OVERDUE",IF(L55&lt;=Settings!$C$13+Settings!C9,"AT RISK","OK"))))</f>
        <v/>
      </c>
      <c r="O55" s="91" t="s">
        <v>111</v>
      </c>
      <c r="P55" s="89" t="n">
        <v>3</v>
      </c>
      <c r="Q55" s="93" t="n">
        <v>45000</v>
      </c>
      <c r="R55" s="93" t="n">
        <v>47200</v>
      </c>
      <c r="S55" s="93" t="n">
        <v>49000</v>
      </c>
      <c r="T55" s="93" t="n">
        <f aca="false">IF(AND(Q55&gt;0,R55&gt;0),Q55-R55,"")</f>
        <v>-2200</v>
      </c>
      <c r="U55" s="94" t="n">
        <f aca="false">IFERROR(IF(AND(Q55&gt;0,R55&gt;0),(Q55-R55)/Q55,""),"")</f>
        <v>-0.0488888888888889</v>
      </c>
      <c r="V55" s="90" t="s">
        <v>184</v>
      </c>
      <c r="W55" s="92" t="n">
        <v>46064</v>
      </c>
      <c r="X55" s="89" t="n">
        <f aca="false">IF(AND(K55&lt;&gt;"",W55&lt;&gt;""),W55-K55,"")</f>
        <v>38</v>
      </c>
      <c r="Y55" s="89" t="str">
        <f aca="false">IF(AND(X55&lt;&gt;"",X55&gt;0),IF(X55&lt;=Settings!C8,"Yes","No"),"")</f>
        <v>Yes</v>
      </c>
      <c r="Z55" s="91" t="s">
        <v>112</v>
      </c>
      <c r="AA55" s="95" t="s">
        <v>314</v>
      </c>
      <c r="AB55" s="88" t="str">
        <f aca="false">IF(Z55&lt;&gt;"Closed","",IF(P55&gt;=Settings!$C$10,"OK","LOW"))</f>
        <v>LOW</v>
      </c>
    </row>
    <row r="56" customFormat="false" ht="15.75" hidden="false" customHeight="true" outlineLevel="0" collapsed="false">
      <c r="B56" s="81" t="n">
        <f aca="false">IF(C56&lt;&gt;"",ROW()-11,"")</f>
        <v>45</v>
      </c>
      <c r="C56" s="82" t="s">
        <v>315</v>
      </c>
      <c r="D56" s="82" t="s">
        <v>316</v>
      </c>
      <c r="E56" s="82" t="s">
        <v>317</v>
      </c>
      <c r="F56" s="82" t="s">
        <v>166</v>
      </c>
      <c r="G56" s="82" t="s">
        <v>210</v>
      </c>
      <c r="H56" s="83" t="s">
        <v>125</v>
      </c>
      <c r="I56" s="83" t="s">
        <v>111</v>
      </c>
      <c r="J56" s="82" t="s">
        <v>211</v>
      </c>
      <c r="K56" s="84" t="n">
        <v>46048</v>
      </c>
      <c r="L56" s="84" t="n">
        <v>46076</v>
      </c>
      <c r="M56" s="81" t="str">
        <f aca="false">IF(AND(L56&lt;&gt;"",Z56="Open"),L56-Settings!$C$13,"")</f>
        <v/>
      </c>
      <c r="N56" s="81" t="str">
        <f aca="false">IF(Z56&lt;&gt;"Open","",IF(L56="","",IF(L56&lt;Settings!$C$13,"OVERDUE",IF(L56&lt;=Settings!$C$13+Settings!C9,"AT RISK","OK"))))</f>
        <v/>
      </c>
      <c r="O56" s="83" t="s">
        <v>111</v>
      </c>
      <c r="P56" s="81" t="n">
        <v>1</v>
      </c>
      <c r="Q56" s="85" t="n">
        <v>12500</v>
      </c>
      <c r="R56" s="85" t="n">
        <v>11900</v>
      </c>
      <c r="S56" s="85"/>
      <c r="T56" s="85" t="n">
        <f aca="false">IF(AND(Q56&gt;0,R56&gt;0),Q56-R56,"")</f>
        <v>600</v>
      </c>
      <c r="U56" s="86" t="n">
        <f aca="false">IFERROR(IF(AND(Q56&gt;0,R56&gt;0),(Q56-R56)/Q56,""),"")</f>
        <v>0.048</v>
      </c>
      <c r="V56" s="82" t="s">
        <v>211</v>
      </c>
      <c r="W56" s="84" t="n">
        <v>46081</v>
      </c>
      <c r="X56" s="81" t="n">
        <f aca="false">IF(AND(K56&lt;&gt;"",W56&lt;&gt;""),W56-K56,"")</f>
        <v>33</v>
      </c>
      <c r="Y56" s="81" t="str">
        <f aca="false">IF(AND(X56&lt;&gt;"",X56&gt;0),IF(X56&lt;=Settings!C8,"Yes","No"),"")</f>
        <v>Yes</v>
      </c>
      <c r="Z56" s="83" t="s">
        <v>112</v>
      </c>
      <c r="AA56" s="87" t="s">
        <v>318</v>
      </c>
      <c r="AB56" s="88" t="str">
        <f aca="false">IF(Z56&lt;&gt;"Closed","",IF(P56&gt;=Settings!$C$10,"OK","LOW"))</f>
        <v>LOW</v>
      </c>
    </row>
    <row r="57" customFormat="false" ht="15.75" hidden="false" customHeight="true" outlineLevel="0" collapsed="false">
      <c r="B57" s="89" t="n">
        <f aca="false">IF(C57&lt;&gt;"",ROW()-11,"")</f>
        <v>46</v>
      </c>
      <c r="C57" s="90" t="s">
        <v>319</v>
      </c>
      <c r="D57" s="90" t="s">
        <v>320</v>
      </c>
      <c r="E57" s="90" t="s">
        <v>321</v>
      </c>
      <c r="F57" s="90" t="s">
        <v>138</v>
      </c>
      <c r="G57" s="90" t="s">
        <v>64</v>
      </c>
      <c r="H57" s="91" t="s">
        <v>118</v>
      </c>
      <c r="I57" s="91" t="s">
        <v>109</v>
      </c>
      <c r="J57" s="90" t="s">
        <v>119</v>
      </c>
      <c r="K57" s="92" t="n">
        <v>46056</v>
      </c>
      <c r="L57" s="92" t="n">
        <v>46081</v>
      </c>
      <c r="M57" s="89" t="str">
        <f aca="false">IF(AND(L57&lt;&gt;"",Z57="Open"),L57-Settings!$C$13,"")</f>
        <v/>
      </c>
      <c r="N57" s="89" t="str">
        <f aca="false">IF(Z57&lt;&gt;"Open","",IF(L57="","",IF(L57&lt;Settings!$C$13,"OVERDUE",IF(L57&lt;=Settings!$C$13+Settings!C9,"AT RISK","OK"))))</f>
        <v/>
      </c>
      <c r="O57" s="91" t="s">
        <v>111</v>
      </c>
      <c r="P57" s="89" t="n">
        <v>5</v>
      </c>
      <c r="Q57" s="93" t="n">
        <v>3200</v>
      </c>
      <c r="R57" s="93" t="n">
        <v>2750</v>
      </c>
      <c r="S57" s="93" t="n">
        <v>2900</v>
      </c>
      <c r="T57" s="93" t="n">
        <f aca="false">IF(AND(Q57&gt;0,R57&gt;0),Q57-R57,"")</f>
        <v>450</v>
      </c>
      <c r="U57" s="94" t="n">
        <f aca="false">IFERROR(IF(AND(Q57&gt;0,R57&gt;0),(Q57-R57)/Q57,""),"")</f>
        <v>0.140625</v>
      </c>
      <c r="V57" s="90" t="s">
        <v>119</v>
      </c>
      <c r="W57" s="92" t="n">
        <v>46084</v>
      </c>
      <c r="X57" s="89" t="n">
        <f aca="false">IF(AND(K57&lt;&gt;"",W57&lt;&gt;""),W57-K57,"")</f>
        <v>28</v>
      </c>
      <c r="Y57" s="89" t="str">
        <f aca="false">IF(AND(X57&lt;&gt;"",X57&gt;0),IF(X57&lt;=Settings!C8,"Yes","No"),"")</f>
        <v>Yes</v>
      </c>
      <c r="Z57" s="91" t="s">
        <v>112</v>
      </c>
      <c r="AA57" s="95" t="s">
        <v>322</v>
      </c>
      <c r="AB57" s="88" t="str">
        <f aca="false">IF(Z57&lt;&gt;"Closed","",IF(P57&gt;=Settings!$C$10,"OK","LOW"))</f>
        <v>LOW</v>
      </c>
    </row>
    <row r="58" customFormat="false" ht="15.75" hidden="false" customHeight="true" outlineLevel="0" collapsed="false">
      <c r="B58" s="81" t="n">
        <f aca="false">IF(C58&lt;&gt;"",ROW()-11,"")</f>
        <v>47</v>
      </c>
      <c r="C58" s="82" t="s">
        <v>323</v>
      </c>
      <c r="D58" s="82" t="s">
        <v>324</v>
      </c>
      <c r="E58" s="82" t="s">
        <v>325</v>
      </c>
      <c r="F58" s="82" t="s">
        <v>132</v>
      </c>
      <c r="G58" s="82" t="s">
        <v>173</v>
      </c>
      <c r="H58" s="83" t="s">
        <v>125</v>
      </c>
      <c r="I58" s="83" t="s">
        <v>109</v>
      </c>
      <c r="J58" s="82" t="s">
        <v>263</v>
      </c>
      <c r="K58" s="84" t="n">
        <v>46036</v>
      </c>
      <c r="L58" s="84" t="n">
        <v>46066</v>
      </c>
      <c r="M58" s="81" t="str">
        <f aca="false">IF(AND(L58&lt;&gt;"",Z58="Open"),L58-Settings!$C$13,"")</f>
        <v/>
      </c>
      <c r="N58" s="81" t="str">
        <f aca="false">IF(Z58&lt;&gt;"Open","",IF(L58="","",IF(L58&lt;Settings!$C$13,"OVERDUE",IF(L58&lt;=Settings!$C$13+Settings!C9,"AT RISK","OK"))))</f>
        <v/>
      </c>
      <c r="O58" s="83" t="s">
        <v>111</v>
      </c>
      <c r="P58" s="81" t="n">
        <v>3</v>
      </c>
      <c r="Q58" s="85" t="n">
        <v>95000</v>
      </c>
      <c r="R58" s="85" t="n">
        <v>89500</v>
      </c>
      <c r="S58" s="85" t="n">
        <v>93000</v>
      </c>
      <c r="T58" s="85" t="n">
        <f aca="false">IF(AND(Q58&gt;0,R58&gt;0),Q58-R58,"")</f>
        <v>5500</v>
      </c>
      <c r="U58" s="86" t="n">
        <f aca="false">IFERROR(IF(AND(Q58&gt;0,R58&gt;0),(Q58-R58)/Q58,""),"")</f>
        <v>0.0578947368421053</v>
      </c>
      <c r="V58" s="82" t="s">
        <v>263</v>
      </c>
      <c r="W58" s="84" t="n">
        <v>46072</v>
      </c>
      <c r="X58" s="81" t="n">
        <f aca="false">IF(AND(K58&lt;&gt;"",W58&lt;&gt;""),W58-K58,"")</f>
        <v>36</v>
      </c>
      <c r="Y58" s="81" t="str">
        <f aca="false">IF(AND(X58&lt;&gt;"",X58&gt;0),IF(X58&lt;=Settings!C8,"Yes","No"),"")</f>
        <v>Yes</v>
      </c>
      <c r="Z58" s="83" t="s">
        <v>112</v>
      </c>
      <c r="AA58" s="87" t="s">
        <v>326</v>
      </c>
      <c r="AB58" s="88" t="str">
        <f aca="false">IF(Z58&lt;&gt;"Closed","",IF(P58&gt;=Settings!$C$10,"OK","LOW"))</f>
        <v>LOW</v>
      </c>
    </row>
    <row r="59" customFormat="false" ht="15.75" hidden="false" customHeight="true" outlineLevel="0" collapsed="false">
      <c r="B59" s="89" t="n">
        <f aca="false">IF(C59&lt;&gt;"",ROW()-11,"")</f>
        <v>48</v>
      </c>
      <c r="C59" s="90" t="s">
        <v>327</v>
      </c>
      <c r="D59" s="90" t="s">
        <v>328</v>
      </c>
      <c r="E59" s="90" t="s">
        <v>329</v>
      </c>
      <c r="F59" s="90" t="s">
        <v>117</v>
      </c>
      <c r="G59" s="90" t="s">
        <v>63</v>
      </c>
      <c r="H59" s="91" t="s">
        <v>139</v>
      </c>
      <c r="I59" s="91" t="s">
        <v>109</v>
      </c>
      <c r="J59" s="90" t="s">
        <v>330</v>
      </c>
      <c r="K59" s="92" t="n">
        <v>46051</v>
      </c>
      <c r="L59" s="92" t="n">
        <v>46078</v>
      </c>
      <c r="M59" s="89" t="str">
        <f aca="false">IF(AND(L59&lt;&gt;"",Z59="Open"),L59-Settings!$C$13,"")</f>
        <v/>
      </c>
      <c r="N59" s="89" t="str">
        <f aca="false">IF(Z59&lt;&gt;"Open","",IF(L59="","",IF(L59&lt;Settings!$C$13,"OVERDUE",IF(L59&lt;=Settings!$C$13+Settings!C9,"AT RISK","OK"))))</f>
        <v/>
      </c>
      <c r="O59" s="91" t="s">
        <v>111</v>
      </c>
      <c r="P59" s="89" t="n">
        <v>3</v>
      </c>
      <c r="Q59" s="93" t="n">
        <v>18500</v>
      </c>
      <c r="R59" s="93" t="n">
        <v>17200</v>
      </c>
      <c r="S59" s="93" t="n">
        <v>18000</v>
      </c>
      <c r="T59" s="93" t="n">
        <f aca="false">IF(AND(Q59&gt;0,R59&gt;0),Q59-R59,"")</f>
        <v>1300</v>
      </c>
      <c r="U59" s="94" t="n">
        <f aca="false">IFERROR(IF(AND(Q59&gt;0,R59&gt;0),(Q59-R59)/Q59,""),"")</f>
        <v>0.0702702702702703</v>
      </c>
      <c r="V59" s="90" t="s">
        <v>330</v>
      </c>
      <c r="W59" s="92" t="n">
        <v>46083</v>
      </c>
      <c r="X59" s="89" t="n">
        <f aca="false">IF(AND(K59&lt;&gt;"",W59&lt;&gt;""),W59-K59,"")</f>
        <v>32</v>
      </c>
      <c r="Y59" s="89" t="str">
        <f aca="false">IF(AND(X59&lt;&gt;"",X59&gt;0),IF(X59&lt;=Settings!C8,"Yes","No"),"")</f>
        <v>Yes</v>
      </c>
      <c r="Z59" s="91" t="s">
        <v>112</v>
      </c>
      <c r="AA59" s="95" t="s">
        <v>331</v>
      </c>
      <c r="AB59" s="88" t="str">
        <f aca="false">IF(Z59&lt;&gt;"Closed","",IF(P59&gt;=Settings!$C$10,"OK","LOW"))</f>
        <v>LOW</v>
      </c>
    </row>
    <row r="60" customFormat="false" ht="15.75" hidden="false" customHeight="true" outlineLevel="0" collapsed="false">
      <c r="B60" s="81" t="n">
        <f aca="false">IF(C60&lt;&gt;"",ROW()-11,"")</f>
        <v>49</v>
      </c>
      <c r="C60" s="82" t="s">
        <v>332</v>
      </c>
      <c r="D60" s="82" t="s">
        <v>333</v>
      </c>
      <c r="E60" s="82" t="s">
        <v>201</v>
      </c>
      <c r="F60" s="82" t="s">
        <v>117</v>
      </c>
      <c r="G60" s="82" t="s">
        <v>173</v>
      </c>
      <c r="H60" s="83" t="s">
        <v>108</v>
      </c>
      <c r="I60" s="83" t="s">
        <v>109</v>
      </c>
      <c r="J60" s="82" t="s">
        <v>263</v>
      </c>
      <c r="K60" s="84" t="n">
        <v>46041</v>
      </c>
      <c r="L60" s="84" t="n">
        <v>46071</v>
      </c>
      <c r="M60" s="81" t="str">
        <f aca="false">IF(AND(L60&lt;&gt;"",Z60="Open"),L60-Settings!$C$13,"")</f>
        <v/>
      </c>
      <c r="N60" s="81" t="str">
        <f aca="false">IF(Z60&lt;&gt;"Open","",IF(L60="","",IF(L60&lt;Settings!$C$13,"OVERDUE",IF(L60&lt;=Settings!$C$13+Settings!C9,"AT RISK","OK"))))</f>
        <v/>
      </c>
      <c r="O60" s="83" t="s">
        <v>109</v>
      </c>
      <c r="P60" s="81" t="n">
        <v>0</v>
      </c>
      <c r="Q60" s="85"/>
      <c r="R60" s="85"/>
      <c r="S60" s="85"/>
      <c r="T60" s="85" t="str">
        <f aca="false">IF(AND(Q60&gt;0,R60&gt;0),Q60-R60,"")</f>
        <v/>
      </c>
      <c r="U60" s="86" t="str">
        <f aca="false">IFERROR(IF(AND(Q60&gt;0,R60&gt;0),(Q60-R60)/Q60,""),"")</f>
        <v/>
      </c>
      <c r="V60" s="82"/>
      <c r="W60" s="84"/>
      <c r="X60" s="81" t="str">
        <f aca="false">IF(AND(K60&lt;&gt;"",W60&lt;&gt;""),W60-K60,"")</f>
        <v/>
      </c>
      <c r="Y60" s="81" t="str">
        <f aca="false">IF(AND(X60&lt;&gt;"",X60&gt;0),IF(X60&lt;=Settings!C8,"Yes","No"),"")</f>
        <v/>
      </c>
      <c r="Z60" s="83" t="s">
        <v>334</v>
      </c>
      <c r="AA60" s="87" t="s">
        <v>335</v>
      </c>
      <c r="AB60" s="88" t="str">
        <f aca="false">IF(Z60&lt;&gt;"Closed","",IF(P60&gt;=Settings!$C$10,"OK","LOW"))</f>
        <v/>
      </c>
    </row>
    <row r="61" customFormat="false" ht="15.75" hidden="false" customHeight="true" outlineLevel="0" collapsed="false">
      <c r="B61" s="89" t="n">
        <f aca="false">IF(C61&lt;&gt;"",ROW()-11,"")</f>
        <v>50</v>
      </c>
      <c r="C61" s="90" t="s">
        <v>336</v>
      </c>
      <c r="D61" s="90" t="s">
        <v>337</v>
      </c>
      <c r="E61" s="90" t="s">
        <v>338</v>
      </c>
      <c r="F61" s="90" t="s">
        <v>107</v>
      </c>
      <c r="G61" s="90" t="s">
        <v>70</v>
      </c>
      <c r="H61" s="91" t="s">
        <v>139</v>
      </c>
      <c r="I61" s="91" t="s">
        <v>111</v>
      </c>
      <c r="J61" s="90" t="s">
        <v>155</v>
      </c>
      <c r="K61" s="92" t="n">
        <v>46066</v>
      </c>
      <c r="L61" s="92" t="n">
        <v>46096</v>
      </c>
      <c r="M61" s="89" t="str">
        <f aca="false">IF(AND(L61&lt;&gt;"",Z61="Open"),L61-Settings!$C$13,"")</f>
        <v/>
      </c>
      <c r="N61" s="89" t="str">
        <f aca="false">IF(Z61&lt;&gt;"Open","",IF(L61="","",IF(L61&lt;Settings!$C$13,"OVERDUE",IF(L61&lt;=Settings!$C$13+Settings!C9,"AT RISK","OK"))))</f>
        <v/>
      </c>
      <c r="O61" s="91" t="s">
        <v>109</v>
      </c>
      <c r="P61" s="89" t="n">
        <v>0</v>
      </c>
      <c r="Q61" s="93"/>
      <c r="R61" s="93"/>
      <c r="S61" s="93"/>
      <c r="T61" s="93" t="str">
        <f aca="false">IF(AND(Q61&gt;0,R61&gt;0),Q61-R61,"")</f>
        <v/>
      </c>
      <c r="U61" s="94" t="str">
        <f aca="false">IFERROR(IF(AND(Q61&gt;0,R61&gt;0),(Q61-R61)/Q61,""),"")</f>
        <v/>
      </c>
      <c r="V61" s="90"/>
      <c r="W61" s="92"/>
      <c r="X61" s="89" t="str">
        <f aca="false">IF(AND(K61&lt;&gt;"",W61&lt;&gt;""),W61-K61,"")</f>
        <v/>
      </c>
      <c r="Y61" s="89" t="str">
        <f aca="false">IF(AND(X61&lt;&gt;"",X61&gt;0),IF(X61&lt;=Settings!C8,"Yes","No"),"")</f>
        <v/>
      </c>
      <c r="Z61" s="91" t="s">
        <v>334</v>
      </c>
      <c r="AA61" s="95" t="s">
        <v>339</v>
      </c>
      <c r="AB61" s="88" t="str">
        <f aca="false">IF(Z61&lt;&gt;"Closed","",IF(P61&gt;=Settings!$C$10,"OK","LOW"))</f>
        <v/>
      </c>
    </row>
    <row r="62" customFormat="false" ht="15.75" hidden="false" customHeight="true" outlineLevel="0" collapsed="false">
      <c r="B62" s="81" t="n">
        <f aca="false">IF(C62&lt;&gt;"",ROW()-11,"")</f>
        <v>51</v>
      </c>
      <c r="C62" s="82" t="s">
        <v>340</v>
      </c>
      <c r="D62" s="82" t="s">
        <v>341</v>
      </c>
      <c r="E62" s="82" t="s">
        <v>342</v>
      </c>
      <c r="F62" s="82" t="s">
        <v>107</v>
      </c>
      <c r="G62" s="82" t="s">
        <v>65</v>
      </c>
      <c r="H62" s="83" t="s">
        <v>108</v>
      </c>
      <c r="I62" s="83" t="s">
        <v>109</v>
      </c>
      <c r="J62" s="82" t="s">
        <v>343</v>
      </c>
      <c r="K62" s="84" t="n">
        <v>46068</v>
      </c>
      <c r="L62" s="84" t="n">
        <v>46131</v>
      </c>
      <c r="M62" s="81" t="str">
        <f aca="false">IF(AND(L62&lt;&gt;"",Z62="Open"),L62-Settings!$C$13,"")</f>
        <v/>
      </c>
      <c r="N62" s="81" t="str">
        <f aca="false">IF(Z62&lt;&gt;"Open","",IF(L62="","",IF(L62&lt;Settings!$C$13,"OVERDUE",IF(L62&lt;=Settings!$C$13+Settings!C9,"AT RISK","OK"))))</f>
        <v/>
      </c>
      <c r="O62" s="83" t="s">
        <v>109</v>
      </c>
      <c r="P62" s="81" t="n">
        <v>0</v>
      </c>
      <c r="Q62" s="85"/>
      <c r="R62" s="85"/>
      <c r="S62" s="85"/>
      <c r="T62" s="85" t="str">
        <f aca="false">IF(AND(Q62&gt;0,R62&gt;0),Q62-R62,"")</f>
        <v/>
      </c>
      <c r="U62" s="86" t="str">
        <f aca="false">IFERROR(IF(AND(Q62&gt;0,R62&gt;0),(Q62-R62)/Q62,""),"")</f>
        <v/>
      </c>
      <c r="V62" s="82"/>
      <c r="W62" s="84"/>
      <c r="X62" s="81" t="str">
        <f aca="false">IF(AND(K62&lt;&gt;"",W62&lt;&gt;""),W62-K62,"")</f>
        <v/>
      </c>
      <c r="Y62" s="81" t="str">
        <f aca="false">IF(AND(X62&lt;&gt;"",X62&gt;0),IF(X62&lt;=Settings!C8,"Yes","No"),"")</f>
        <v/>
      </c>
      <c r="Z62" s="83" t="s">
        <v>344</v>
      </c>
      <c r="AA62" s="87" t="s">
        <v>345</v>
      </c>
      <c r="AB62" s="88" t="str">
        <f aca="false">IF(Z62&lt;&gt;"Closed","",IF(P62&gt;=Settings!$C$10,"OK","LOW"))</f>
        <v/>
      </c>
    </row>
    <row r="63" customFormat="false" ht="15.75" hidden="false" customHeight="true" outlineLevel="0" collapsed="false">
      <c r="B63" s="89" t="n">
        <f aca="false">IF(C63&lt;&gt;"",ROW()-11,"")</f>
        <v>52</v>
      </c>
      <c r="C63" s="90" t="s">
        <v>346</v>
      </c>
      <c r="D63" s="90" t="s">
        <v>347</v>
      </c>
      <c r="E63" s="90" t="s">
        <v>348</v>
      </c>
      <c r="F63" s="90" t="s">
        <v>124</v>
      </c>
      <c r="G63" s="90" t="s">
        <v>68</v>
      </c>
      <c r="H63" s="91" t="s">
        <v>125</v>
      </c>
      <c r="I63" s="91" t="s">
        <v>111</v>
      </c>
      <c r="J63" s="90" t="s">
        <v>145</v>
      </c>
      <c r="K63" s="92" t="n">
        <v>46061</v>
      </c>
      <c r="L63" s="92" t="n">
        <v>46082</v>
      </c>
      <c r="M63" s="89" t="n">
        <f aca="false">IF(AND(L63&lt;&gt;"",Z63="Open"),L63-Settings!$C$13,"")</f>
        <v>-6</v>
      </c>
      <c r="N63" s="89" t="str">
        <f aca="false">IF(Z63&lt;&gt;"Open","",IF(L63="","",IF(L63&lt;Settings!$C$13,"OVERDUE",IF(L63&lt;=Settings!$C$13+Settings!C9,"AT RISK","OK"))))</f>
        <v>OVERDUE</v>
      </c>
      <c r="O63" s="91" t="s">
        <v>109</v>
      </c>
      <c r="P63" s="89" t="n">
        <v>0</v>
      </c>
      <c r="Q63" s="93" t="n">
        <v>67000</v>
      </c>
      <c r="R63" s="93"/>
      <c r="S63" s="93"/>
      <c r="T63" s="93" t="str">
        <f aca="false">IF(AND(Q63&gt;0,R63&gt;0),Q63-R63,"")</f>
        <v/>
      </c>
      <c r="U63" s="94" t="str">
        <f aca="false">IFERROR(IF(AND(Q63&gt;0,R63&gt;0),(Q63-R63)/Q63,""),"")</f>
        <v/>
      </c>
      <c r="V63" s="90"/>
      <c r="W63" s="92"/>
      <c r="X63" s="89" t="str">
        <f aca="false">IF(AND(K63&lt;&gt;"",W63&lt;&gt;""),W63-K63,"")</f>
        <v/>
      </c>
      <c r="Y63" s="89" t="str">
        <f aca="false">IF(AND(X63&lt;&gt;"",X63&gt;0),IF(X63&lt;=Settings!C8,"Yes","No"),"")</f>
        <v/>
      </c>
      <c r="Z63" s="91" t="s">
        <v>127</v>
      </c>
      <c r="AA63" s="95" t="s">
        <v>349</v>
      </c>
      <c r="AB63" s="88" t="str">
        <f aca="false">IF(Z63&lt;&gt;"Closed","",IF(P63&gt;=Settings!$C$10,"OK","LOW"))</f>
        <v/>
      </c>
    </row>
    <row r="64" customFormat="false" ht="15.75" hidden="false" customHeight="true" outlineLevel="0" collapsed="false">
      <c r="B64" s="81" t="n">
        <f aca="false">IF(C64&lt;&gt;"",ROW()-11,"")</f>
        <v>53</v>
      </c>
      <c r="C64" s="82" t="s">
        <v>350</v>
      </c>
      <c r="D64" s="82" t="s">
        <v>351</v>
      </c>
      <c r="E64" s="82" t="s">
        <v>352</v>
      </c>
      <c r="F64" s="82" t="s">
        <v>144</v>
      </c>
      <c r="G64" s="82" t="s">
        <v>65</v>
      </c>
      <c r="H64" s="83" t="s">
        <v>108</v>
      </c>
      <c r="I64" s="83" t="s">
        <v>109</v>
      </c>
      <c r="J64" s="82" t="s">
        <v>126</v>
      </c>
      <c r="K64" s="84" t="n">
        <v>46056</v>
      </c>
      <c r="L64" s="84" t="n">
        <v>46084</v>
      </c>
      <c r="M64" s="81" t="n">
        <f aca="false">IF(AND(L64&lt;&gt;"",Z64="Open"),L64-Settings!$C$13,"")</f>
        <v>-4</v>
      </c>
      <c r="N64" s="81" t="str">
        <f aca="false">IF(Z64&lt;&gt;"Open","",IF(L64="","",IF(L64&lt;Settings!$C$13,"OVERDUE",IF(L64&lt;=Settings!$C$13+Settings!C9,"AT RISK","OK"))))</f>
        <v>OVERDUE</v>
      </c>
      <c r="O64" s="83" t="s">
        <v>111</v>
      </c>
      <c r="P64" s="81" t="n">
        <v>1</v>
      </c>
      <c r="Q64" s="85" t="n">
        <v>54000</v>
      </c>
      <c r="R64" s="85" t="n">
        <v>52000</v>
      </c>
      <c r="S64" s="85"/>
      <c r="T64" s="85" t="n">
        <f aca="false">IF(AND(Q64&gt;0,R64&gt;0),Q64-R64,"")</f>
        <v>2000</v>
      </c>
      <c r="U64" s="86" t="n">
        <f aca="false">IFERROR(IF(AND(Q64&gt;0,R64&gt;0),(Q64-R64)/Q64,""),"")</f>
        <v>0.037037037037037</v>
      </c>
      <c r="V64" s="82"/>
      <c r="W64" s="84"/>
      <c r="X64" s="81" t="str">
        <f aca="false">IF(AND(K64&lt;&gt;"",W64&lt;&gt;""),W64-K64,"")</f>
        <v/>
      </c>
      <c r="Y64" s="81" t="str">
        <f aca="false">IF(AND(X64&lt;&gt;"",X64&gt;0),IF(X64&lt;=Settings!C8,"Yes","No"),"")</f>
        <v/>
      </c>
      <c r="Z64" s="83" t="s">
        <v>127</v>
      </c>
      <c r="AA64" s="87" t="s">
        <v>353</v>
      </c>
      <c r="AB64" s="88" t="str">
        <f aca="false">IF(Z64&lt;&gt;"Closed","",IF(P64&gt;=Settings!$C$10,"OK","LOW"))</f>
        <v/>
      </c>
    </row>
    <row r="65" customFormat="false" ht="15.75" hidden="false" customHeight="true" outlineLevel="0" collapsed="false">
      <c r="B65" s="89" t="n">
        <f aca="false">IF(C65&lt;&gt;"",ROW()-11,"")</f>
        <v>54</v>
      </c>
      <c r="C65" s="90" t="s">
        <v>354</v>
      </c>
      <c r="D65" s="90" t="s">
        <v>355</v>
      </c>
      <c r="E65" s="90" t="s">
        <v>356</v>
      </c>
      <c r="F65" s="90" t="s">
        <v>166</v>
      </c>
      <c r="G65" s="90" t="s">
        <v>70</v>
      </c>
      <c r="H65" s="91" t="s">
        <v>139</v>
      </c>
      <c r="I65" s="91" t="s">
        <v>109</v>
      </c>
      <c r="J65" s="90" t="s">
        <v>155</v>
      </c>
      <c r="K65" s="92" t="n">
        <v>46068</v>
      </c>
      <c r="L65" s="92" t="n">
        <v>46088</v>
      </c>
      <c r="M65" s="89" t="n">
        <f aca="false">IF(AND(L65&lt;&gt;"",Z65="Open"),L65-Settings!$C$13,"")</f>
        <v>0</v>
      </c>
      <c r="N65" s="89" t="str">
        <f aca="false">IF(Z65&lt;&gt;"Open","",IF(L65="","",IF(L65&lt;Settings!$C$13,"OVERDUE",IF(L65&lt;=Settings!$C$13+Settings!C9,"AT RISK","OK"))))</f>
        <v>AT RISK</v>
      </c>
      <c r="O65" s="91" t="s">
        <v>111</v>
      </c>
      <c r="P65" s="89" t="n">
        <v>3</v>
      </c>
      <c r="Q65" s="93" t="n">
        <v>1800</v>
      </c>
      <c r="R65" s="93" t="n">
        <v>1650</v>
      </c>
      <c r="S65" s="93" t="n">
        <v>1750</v>
      </c>
      <c r="T65" s="93" t="n">
        <f aca="false">IF(AND(Q65&gt;0,R65&gt;0),Q65-R65,"")</f>
        <v>150</v>
      </c>
      <c r="U65" s="94" t="n">
        <f aca="false">IFERROR(IF(AND(Q65&gt;0,R65&gt;0),(Q65-R65)/Q65,""),"")</f>
        <v>0.0833333333333333</v>
      </c>
      <c r="V65" s="90"/>
      <c r="W65" s="92"/>
      <c r="X65" s="89" t="str">
        <f aca="false">IF(AND(K65&lt;&gt;"",W65&lt;&gt;""),W65-K65,"")</f>
        <v/>
      </c>
      <c r="Y65" s="89" t="str">
        <f aca="false">IF(AND(X65&lt;&gt;"",X65&gt;0),IF(X65&lt;=Settings!C8,"Yes","No"),"")</f>
        <v/>
      </c>
      <c r="Z65" s="91" t="s">
        <v>127</v>
      </c>
      <c r="AA65" s="95" t="s">
        <v>357</v>
      </c>
      <c r="AB65" s="88" t="str">
        <f aca="false">IF(Z65&lt;&gt;"Closed","",IF(P65&gt;=Settings!$C$10,"OK","LOW"))</f>
        <v/>
      </c>
    </row>
    <row r="66" customFormat="false" ht="15.75" hidden="false" customHeight="true" outlineLevel="0" collapsed="false">
      <c r="B66" s="81" t="n">
        <f aca="false">IF(C66&lt;&gt;"",ROW()-11,"")</f>
        <v>55</v>
      </c>
      <c r="C66" s="82" t="s">
        <v>358</v>
      </c>
      <c r="D66" s="82" t="s">
        <v>359</v>
      </c>
      <c r="E66" s="82" t="s">
        <v>360</v>
      </c>
      <c r="F66" s="82" t="s">
        <v>107</v>
      </c>
      <c r="G66" s="82" t="s">
        <v>63</v>
      </c>
      <c r="H66" s="83" t="s">
        <v>125</v>
      </c>
      <c r="I66" s="83" t="s">
        <v>111</v>
      </c>
      <c r="J66" s="82" t="s">
        <v>110</v>
      </c>
      <c r="K66" s="84" t="n">
        <v>46064</v>
      </c>
      <c r="L66" s="84" t="n">
        <v>46089</v>
      </c>
      <c r="M66" s="81" t="n">
        <f aca="false">IF(AND(L66&lt;&gt;"",Z66="Open"),L66-Settings!$C$13,"")</f>
        <v>1</v>
      </c>
      <c r="N66" s="81" t="str">
        <f aca="false">IF(Z66&lt;&gt;"Open","",IF(L66="","",IF(L66&lt;Settings!$C$13,"OVERDUE",IF(L66&lt;=Settings!$C$13+Settings!C9,"AT RISK","OK"))))</f>
        <v>AT RISK</v>
      </c>
      <c r="O66" s="83" t="s">
        <v>111</v>
      </c>
      <c r="P66" s="81" t="n">
        <v>1</v>
      </c>
      <c r="Q66" s="85" t="n">
        <v>9500</v>
      </c>
      <c r="R66" s="85"/>
      <c r="S66" s="85"/>
      <c r="T66" s="85" t="str">
        <f aca="false">IF(AND(Q66&gt;0,R66&gt;0),Q66-R66,"")</f>
        <v/>
      </c>
      <c r="U66" s="86" t="str">
        <f aca="false">IFERROR(IF(AND(Q66&gt;0,R66&gt;0),(Q66-R66)/Q66,""),"")</f>
        <v/>
      </c>
      <c r="V66" s="82"/>
      <c r="W66" s="84"/>
      <c r="X66" s="81" t="str">
        <f aca="false">IF(AND(K66&lt;&gt;"",W66&lt;&gt;""),W66-K66,"")</f>
        <v/>
      </c>
      <c r="Y66" s="81" t="str">
        <f aca="false">IF(AND(X66&lt;&gt;"",X66&gt;0),IF(X66&lt;=Settings!C8,"Yes","No"),"")</f>
        <v/>
      </c>
      <c r="Z66" s="83" t="s">
        <v>127</v>
      </c>
      <c r="AA66" s="87" t="s">
        <v>361</v>
      </c>
      <c r="AB66" s="88" t="str">
        <f aca="false">IF(Z66&lt;&gt;"Closed","",IF(P66&gt;=Settings!$C$10,"OK","LOW"))</f>
        <v/>
      </c>
    </row>
    <row r="67" customFormat="false" ht="15.75" hidden="false" customHeight="true" outlineLevel="0" collapsed="false">
      <c r="B67" s="89" t="n">
        <f aca="false">IF(C67&lt;&gt;"",ROW()-11,"")</f>
        <v>56</v>
      </c>
      <c r="C67" s="90" t="s">
        <v>362</v>
      </c>
      <c r="D67" s="90" t="s">
        <v>363</v>
      </c>
      <c r="E67" s="90" t="s">
        <v>364</v>
      </c>
      <c r="F67" s="90" t="s">
        <v>138</v>
      </c>
      <c r="G67" s="90" t="s">
        <v>67</v>
      </c>
      <c r="H67" s="91" t="s">
        <v>118</v>
      </c>
      <c r="I67" s="91" t="s">
        <v>109</v>
      </c>
      <c r="J67" s="90" t="s">
        <v>365</v>
      </c>
      <c r="K67" s="92" t="n">
        <v>46078</v>
      </c>
      <c r="L67" s="92" t="n">
        <v>46098</v>
      </c>
      <c r="M67" s="89" t="n">
        <f aca="false">IF(AND(L67&lt;&gt;"",Z67="Open"),L67-Settings!$C$13,"")</f>
        <v>10</v>
      </c>
      <c r="N67" s="89" t="str">
        <f aca="false">IF(Z67&lt;&gt;"Open","",IF(L67="","",IF(L67&lt;Settings!$C$13,"OVERDUE",IF(L67&lt;=Settings!$C$13+Settings!C9,"AT RISK","OK"))))</f>
        <v>OK</v>
      </c>
      <c r="O67" s="91" t="s">
        <v>109</v>
      </c>
      <c r="P67" s="89" t="n">
        <v>0</v>
      </c>
      <c r="Q67" s="93" t="n">
        <v>15000</v>
      </c>
      <c r="R67" s="93"/>
      <c r="S67" s="93"/>
      <c r="T67" s="93" t="str">
        <f aca="false">IF(AND(Q67&gt;0,R67&gt;0),Q67-R67,"")</f>
        <v/>
      </c>
      <c r="U67" s="94" t="str">
        <f aca="false">IFERROR(IF(AND(Q67&gt;0,R67&gt;0),(Q67-R67)/Q67,""),"")</f>
        <v/>
      </c>
      <c r="V67" s="90"/>
      <c r="W67" s="92"/>
      <c r="X67" s="89" t="str">
        <f aca="false">IF(AND(K67&lt;&gt;"",W67&lt;&gt;""),W67-K67,"")</f>
        <v/>
      </c>
      <c r="Y67" s="89" t="str">
        <f aca="false">IF(AND(X67&lt;&gt;"",X67&gt;0),IF(X67&lt;=Settings!C8,"Yes","No"),"")</f>
        <v/>
      </c>
      <c r="Z67" s="91" t="s">
        <v>127</v>
      </c>
      <c r="AA67" s="95" t="s">
        <v>366</v>
      </c>
      <c r="AB67" s="88" t="str">
        <f aca="false">IF(Z67&lt;&gt;"Closed","",IF(P67&gt;=Settings!$C$10,"OK","LOW"))</f>
        <v/>
      </c>
    </row>
    <row r="68" customFormat="false" ht="15.75" hidden="false" customHeight="true" outlineLevel="0" collapsed="false">
      <c r="B68" s="81" t="n">
        <f aca="false">IF(C68&lt;&gt;"",ROW()-11,"")</f>
        <v>57</v>
      </c>
      <c r="C68" s="82" t="s">
        <v>367</v>
      </c>
      <c r="D68" s="82" t="s">
        <v>368</v>
      </c>
      <c r="E68" s="82" t="s">
        <v>369</v>
      </c>
      <c r="F68" s="82" t="s">
        <v>159</v>
      </c>
      <c r="G68" s="82" t="s">
        <v>69</v>
      </c>
      <c r="H68" s="83" t="s">
        <v>108</v>
      </c>
      <c r="I68" s="83" t="s">
        <v>109</v>
      </c>
      <c r="J68" s="82" t="s">
        <v>194</v>
      </c>
      <c r="K68" s="84" t="n">
        <v>46076</v>
      </c>
      <c r="L68" s="84" t="n">
        <v>46104</v>
      </c>
      <c r="M68" s="81" t="n">
        <f aca="false">IF(AND(L68&lt;&gt;"",Z68="Open"),L68-Settings!$C$13,"")</f>
        <v>16</v>
      </c>
      <c r="N68" s="81" t="str">
        <f aca="false">IF(Z68&lt;&gt;"Open","",IF(L68="","",IF(L68&lt;Settings!$C$13,"OVERDUE",IF(L68&lt;=Settings!$C$13+Settings!C9,"AT RISK","OK"))))</f>
        <v>OK</v>
      </c>
      <c r="O68" s="83" t="s">
        <v>111</v>
      </c>
      <c r="P68" s="81" t="n">
        <v>2</v>
      </c>
      <c r="Q68" s="85" t="n">
        <v>78000</v>
      </c>
      <c r="R68" s="85" t="n">
        <v>74500</v>
      </c>
      <c r="S68" s="85"/>
      <c r="T68" s="85" t="n">
        <f aca="false">IF(AND(Q68&gt;0,R68&gt;0),Q68-R68,"")</f>
        <v>3500</v>
      </c>
      <c r="U68" s="86" t="n">
        <f aca="false">IFERROR(IF(AND(Q68&gt;0,R68&gt;0),(Q68-R68)/Q68,""),"")</f>
        <v>0.0448717948717949</v>
      </c>
      <c r="V68" s="82"/>
      <c r="W68" s="84"/>
      <c r="X68" s="81" t="str">
        <f aca="false">IF(AND(K68&lt;&gt;"",W68&lt;&gt;""),W68-K68,"")</f>
        <v/>
      </c>
      <c r="Y68" s="81" t="str">
        <f aca="false">IF(AND(X68&lt;&gt;"",X68&gt;0),IF(X68&lt;=Settings!C8,"Yes","No"),"")</f>
        <v/>
      </c>
      <c r="Z68" s="83" t="s">
        <v>127</v>
      </c>
      <c r="AA68" s="87" t="s">
        <v>370</v>
      </c>
      <c r="AB68" s="88" t="str">
        <f aca="false">IF(Z68&lt;&gt;"Closed","",IF(P68&gt;=Settings!$C$10,"OK","LOW"))</f>
        <v/>
      </c>
    </row>
    <row r="69" customFormat="false" ht="15.75" hidden="false" customHeight="true" outlineLevel="0" collapsed="false">
      <c r="B69" s="89" t="n">
        <f aca="false">IF(C69&lt;&gt;"",ROW()-11,"")</f>
        <v>58</v>
      </c>
      <c r="C69" s="90" t="s">
        <v>371</v>
      </c>
      <c r="D69" s="90" t="s">
        <v>372</v>
      </c>
      <c r="E69" s="90" t="s">
        <v>373</v>
      </c>
      <c r="F69" s="90" t="s">
        <v>124</v>
      </c>
      <c r="G69" s="90" t="s">
        <v>183</v>
      </c>
      <c r="H69" s="91" t="s">
        <v>125</v>
      </c>
      <c r="I69" s="91" t="s">
        <v>109</v>
      </c>
      <c r="J69" s="90" t="s">
        <v>184</v>
      </c>
      <c r="K69" s="92" t="n">
        <v>46081</v>
      </c>
      <c r="L69" s="92" t="n">
        <v>46121</v>
      </c>
      <c r="M69" s="89" t="n">
        <f aca="false">IF(AND(L69&lt;&gt;"",Z69="Open"),L69-Settings!$C$13,"")</f>
        <v>33</v>
      </c>
      <c r="N69" s="89" t="str">
        <f aca="false">IF(Z69&lt;&gt;"Open","",IF(L69="","",IF(L69&lt;Settings!$C$13,"OVERDUE",IF(L69&lt;=Settings!$C$13+Settings!C9,"AT RISK","OK"))))</f>
        <v>OK</v>
      </c>
      <c r="O69" s="91" t="s">
        <v>111</v>
      </c>
      <c r="P69" s="89" t="n">
        <v>1</v>
      </c>
      <c r="Q69" s="93" t="n">
        <v>125000</v>
      </c>
      <c r="R69" s="93"/>
      <c r="S69" s="93"/>
      <c r="T69" s="93" t="str">
        <f aca="false">IF(AND(Q69&gt;0,R69&gt;0),Q69-R69,"")</f>
        <v/>
      </c>
      <c r="U69" s="94" t="str">
        <f aca="false">IFERROR(IF(AND(Q69&gt;0,R69&gt;0),(Q69-R69)/Q69,""),"")</f>
        <v/>
      </c>
      <c r="V69" s="90"/>
      <c r="W69" s="92"/>
      <c r="X69" s="89" t="str">
        <f aca="false">IF(AND(K69&lt;&gt;"",W69&lt;&gt;""),W69-K69,"")</f>
        <v/>
      </c>
      <c r="Y69" s="89" t="str">
        <f aca="false">IF(AND(X69&lt;&gt;"",X69&gt;0),IF(X69&lt;=Settings!C8,"Yes","No"),"")</f>
        <v/>
      </c>
      <c r="Z69" s="91" t="s">
        <v>127</v>
      </c>
      <c r="AA69" s="95" t="s">
        <v>374</v>
      </c>
      <c r="AB69" s="88" t="str">
        <f aca="false">IF(Z69&lt;&gt;"Closed","",IF(P69&gt;=Settings!$C$10,"OK","LOW"))</f>
        <v/>
      </c>
    </row>
    <row r="70" customFormat="false" ht="15.75" hidden="false" customHeight="true" outlineLevel="0" collapsed="false">
      <c r="B70" s="81" t="n">
        <f aca="false">IF(C70&lt;&gt;"",ROW()-11,"")</f>
        <v>59</v>
      </c>
      <c r="C70" s="82" t="s">
        <v>375</v>
      </c>
      <c r="D70" s="82" t="s">
        <v>376</v>
      </c>
      <c r="E70" s="82" t="s">
        <v>377</v>
      </c>
      <c r="F70" s="82" t="s">
        <v>138</v>
      </c>
      <c r="G70" s="82" t="s">
        <v>64</v>
      </c>
      <c r="H70" s="83" t="s">
        <v>118</v>
      </c>
      <c r="I70" s="83" t="s">
        <v>109</v>
      </c>
      <c r="J70" s="82" t="s">
        <v>178</v>
      </c>
      <c r="K70" s="84" t="n">
        <v>46083</v>
      </c>
      <c r="L70" s="84" t="n">
        <v>46114</v>
      </c>
      <c r="M70" s="81" t="n">
        <f aca="false">IF(AND(L70&lt;&gt;"",Z70="Open"),L70-Settings!$C$13,"")</f>
        <v>26</v>
      </c>
      <c r="N70" s="81" t="str">
        <f aca="false">IF(Z70&lt;&gt;"Open","",IF(L70="","",IF(L70&lt;Settings!$C$13,"OVERDUE",IF(L70&lt;=Settings!$C$13+Settings!C9,"AT RISK","OK"))))</f>
        <v>OK</v>
      </c>
      <c r="O70" s="83" t="s">
        <v>109</v>
      </c>
      <c r="P70" s="81" t="n">
        <v>0</v>
      </c>
      <c r="Q70" s="85"/>
      <c r="R70" s="85"/>
      <c r="S70" s="85"/>
      <c r="T70" s="85" t="str">
        <f aca="false">IF(AND(Q70&gt;0,R70&gt;0),Q70-R70,"")</f>
        <v/>
      </c>
      <c r="U70" s="86" t="str">
        <f aca="false">IFERROR(IF(AND(Q70&gt;0,R70&gt;0),(Q70-R70)/Q70,""),"")</f>
        <v/>
      </c>
      <c r="V70" s="82"/>
      <c r="W70" s="84"/>
      <c r="X70" s="81" t="str">
        <f aca="false">IF(AND(K70&lt;&gt;"",W70&lt;&gt;""),W70-K70,"")</f>
        <v/>
      </c>
      <c r="Y70" s="81" t="str">
        <f aca="false">IF(AND(X70&lt;&gt;"",X70&gt;0),IF(X70&lt;=Settings!C8,"Yes","No"),"")</f>
        <v/>
      </c>
      <c r="Z70" s="83" t="s">
        <v>127</v>
      </c>
      <c r="AA70" s="87" t="s">
        <v>378</v>
      </c>
      <c r="AB70" s="88" t="str">
        <f aca="false">IF(Z70&lt;&gt;"Closed","",IF(P70&gt;=Settings!$C$10,"OK","LOW"))</f>
        <v/>
      </c>
    </row>
    <row r="71" customFormat="false" ht="15.75" hidden="false" customHeight="true" outlineLevel="0" collapsed="false">
      <c r="B71" s="89" t="n">
        <f aca="false">IF(C71&lt;&gt;"",ROW()-11,"")</f>
        <v>60</v>
      </c>
      <c r="C71" s="90" t="s">
        <v>379</v>
      </c>
      <c r="D71" s="90" t="s">
        <v>380</v>
      </c>
      <c r="E71" s="90" t="s">
        <v>381</v>
      </c>
      <c r="F71" s="90" t="s">
        <v>166</v>
      </c>
      <c r="G71" s="90" t="s">
        <v>210</v>
      </c>
      <c r="H71" s="91" t="s">
        <v>108</v>
      </c>
      <c r="I71" s="91" t="s">
        <v>111</v>
      </c>
      <c r="J71" s="90" t="s">
        <v>211</v>
      </c>
      <c r="K71" s="92" t="n">
        <v>46080</v>
      </c>
      <c r="L71" s="92" t="n">
        <v>46116</v>
      </c>
      <c r="M71" s="89" t="n">
        <f aca="false">IF(AND(L71&lt;&gt;"",Z71="Open"),L71-Settings!$C$13,"")</f>
        <v>28</v>
      </c>
      <c r="N71" s="89" t="str">
        <f aca="false">IF(Z71&lt;&gt;"Open","",IF(L71="","",IF(L71&lt;Settings!$C$13,"OVERDUE",IF(L71&lt;=Settings!$C$13+Settings!C9,"AT RISK","OK"))))</f>
        <v>OK</v>
      </c>
      <c r="O71" s="91" t="s">
        <v>111</v>
      </c>
      <c r="P71" s="89" t="n">
        <v>1</v>
      </c>
      <c r="Q71" s="93" t="n">
        <v>8800</v>
      </c>
      <c r="R71" s="93"/>
      <c r="S71" s="93"/>
      <c r="T71" s="93" t="str">
        <f aca="false">IF(AND(Q71&gt;0,R71&gt;0),Q71-R71,"")</f>
        <v/>
      </c>
      <c r="U71" s="94" t="str">
        <f aca="false">IFERROR(IF(AND(Q71&gt;0,R71&gt;0),(Q71-R71)/Q71,""),"")</f>
        <v/>
      </c>
      <c r="V71" s="90"/>
      <c r="W71" s="92"/>
      <c r="X71" s="89" t="str">
        <f aca="false">IF(AND(K71&lt;&gt;"",W71&lt;&gt;""),W71-K71,"")</f>
        <v/>
      </c>
      <c r="Y71" s="89" t="str">
        <f aca="false">IF(AND(X71&lt;&gt;"",X71&gt;0),IF(X71&lt;=Settings!C8,"Yes","No"),"")</f>
        <v/>
      </c>
      <c r="Z71" s="91" t="s">
        <v>127</v>
      </c>
      <c r="AA71" s="95" t="s">
        <v>382</v>
      </c>
      <c r="AB71" s="88" t="str">
        <f aca="false">IF(Z71&lt;&gt;"Closed","",IF(P71&gt;=Settings!$C$10,"OK","LOW"))</f>
        <v/>
      </c>
    </row>
    <row r="72" customFormat="false" ht="15.75" hidden="false" customHeight="true" outlineLevel="0" collapsed="false">
      <c r="B72" s="81" t="str">
        <f aca="false">IF(C72&lt;&gt;"",ROW()-11,"")</f>
        <v/>
      </c>
      <c r="C72" s="82"/>
      <c r="D72" s="82"/>
      <c r="E72" s="82"/>
      <c r="F72" s="82"/>
      <c r="G72" s="82"/>
      <c r="H72" s="83"/>
      <c r="I72" s="83"/>
      <c r="J72" s="82"/>
      <c r="K72" s="84"/>
      <c r="L72" s="84"/>
      <c r="M72" s="81" t="str">
        <f aca="false">IF(AND(L72&lt;&gt;"",Z72="Open"),L72-Settings!$C$13,"")</f>
        <v/>
      </c>
      <c r="N72" s="81" t="str">
        <f aca="false">IF(Z72&lt;&gt;"Open","",IF(L72="","",IF(L72&lt;Settings!$C$13,"OVERDUE",IF(L72&lt;=Settings!$C$13+Settings!C9,"AT RISK","OK"))))</f>
        <v/>
      </c>
      <c r="O72" s="83"/>
      <c r="P72" s="81"/>
      <c r="Q72" s="85"/>
      <c r="R72" s="85"/>
      <c r="S72" s="85"/>
      <c r="T72" s="85" t="str">
        <f aca="false">IF(AND(Q72&gt;0,R72&gt;0),Q72-R72,"")</f>
        <v/>
      </c>
      <c r="U72" s="86" t="str">
        <f aca="false">IFERROR(IF(AND(Q72&gt;0,R72&gt;0),(Q72-R72)/Q72,""),"")</f>
        <v/>
      </c>
      <c r="V72" s="82"/>
      <c r="W72" s="84"/>
      <c r="X72" s="81" t="str">
        <f aca="false">IF(AND(K72&lt;&gt;"",W72&lt;&gt;""),W72-K72,"")</f>
        <v/>
      </c>
      <c r="Y72" s="81" t="str">
        <f aca="false">IF(AND(X72&lt;&gt;"",X72&gt;0),IF(X72&lt;=Settings!C8,"Yes","No"),"")</f>
        <v/>
      </c>
      <c r="Z72" s="83"/>
      <c r="AA72" s="87"/>
      <c r="AB72" s="88" t="str">
        <f aca="false">IF(Z72&lt;&gt;"Closed","",IF(P72&gt;=Settings!$C$10,"OK","LOW"))</f>
        <v/>
      </c>
    </row>
    <row r="73" customFormat="false" ht="15.75" hidden="false" customHeight="true" outlineLevel="0" collapsed="false">
      <c r="B73" s="89" t="str">
        <f aca="false">IF(C73&lt;&gt;"",ROW()-11,"")</f>
        <v/>
      </c>
      <c r="C73" s="90"/>
      <c r="D73" s="90"/>
      <c r="E73" s="90"/>
      <c r="F73" s="90"/>
      <c r="G73" s="90"/>
      <c r="H73" s="91"/>
      <c r="I73" s="91"/>
      <c r="J73" s="90"/>
      <c r="K73" s="92"/>
      <c r="L73" s="92"/>
      <c r="M73" s="89" t="str">
        <f aca="false">IF(AND(L73&lt;&gt;"",Z73="Open"),L73-Settings!$C$13,"")</f>
        <v/>
      </c>
      <c r="N73" s="89" t="str">
        <f aca="false">IF(Z73&lt;&gt;"Open","",IF(L73="","",IF(L73&lt;Settings!$C$13,"OVERDUE",IF(L73&lt;=Settings!$C$13+Settings!C9,"AT RISK","OK"))))</f>
        <v/>
      </c>
      <c r="O73" s="91"/>
      <c r="P73" s="89"/>
      <c r="Q73" s="93"/>
      <c r="R73" s="93"/>
      <c r="S73" s="93"/>
      <c r="T73" s="93" t="str">
        <f aca="false">IF(AND(Q73&gt;0,R73&gt;0),Q73-R73,"")</f>
        <v/>
      </c>
      <c r="U73" s="94" t="str">
        <f aca="false">IFERROR(IF(AND(Q73&gt;0,R73&gt;0),(Q73-R73)/Q73,""),"")</f>
        <v/>
      </c>
      <c r="V73" s="90"/>
      <c r="W73" s="92"/>
      <c r="X73" s="89" t="str">
        <f aca="false">IF(AND(K73&lt;&gt;"",W73&lt;&gt;""),W73-K73,"")</f>
        <v/>
      </c>
      <c r="Y73" s="89" t="str">
        <f aca="false">IF(AND(X73&lt;&gt;"",X73&gt;0),IF(X73&lt;=Settings!C8,"Yes","No"),"")</f>
        <v/>
      </c>
      <c r="Z73" s="91"/>
      <c r="AA73" s="95"/>
      <c r="AB73" s="88" t="str">
        <f aca="false">IF(Z73&lt;&gt;"Closed","",IF(P73&gt;=Settings!$C$10,"OK","LOW"))</f>
        <v/>
      </c>
    </row>
    <row r="74" customFormat="false" ht="15.75" hidden="false" customHeight="true" outlineLevel="0" collapsed="false">
      <c r="B74" s="81" t="str">
        <f aca="false">IF(C74&lt;&gt;"",ROW()-11,"")</f>
        <v/>
      </c>
      <c r="C74" s="82"/>
      <c r="D74" s="82"/>
      <c r="E74" s="82"/>
      <c r="F74" s="82"/>
      <c r="G74" s="82"/>
      <c r="H74" s="83"/>
      <c r="I74" s="83"/>
      <c r="J74" s="82"/>
      <c r="K74" s="84"/>
      <c r="L74" s="84"/>
      <c r="M74" s="81" t="str">
        <f aca="false">IF(AND(L74&lt;&gt;"",Z74="Open"),L74-Settings!$C$13,"")</f>
        <v/>
      </c>
      <c r="N74" s="81" t="str">
        <f aca="false">IF(Z74&lt;&gt;"Open","",IF(L74="","",IF(L74&lt;Settings!$C$13,"OVERDUE",IF(L74&lt;=Settings!$C$13+Settings!C9,"AT RISK","OK"))))</f>
        <v/>
      </c>
      <c r="O74" s="83"/>
      <c r="P74" s="81"/>
      <c r="Q74" s="85"/>
      <c r="R74" s="85"/>
      <c r="S74" s="85"/>
      <c r="T74" s="85" t="str">
        <f aca="false">IF(AND(Q74&gt;0,R74&gt;0),Q74-R74,"")</f>
        <v/>
      </c>
      <c r="U74" s="86" t="str">
        <f aca="false">IFERROR(IF(AND(Q74&gt;0,R74&gt;0),(Q74-R74)/Q74,""),"")</f>
        <v/>
      </c>
      <c r="V74" s="82"/>
      <c r="W74" s="84"/>
      <c r="X74" s="81" t="str">
        <f aca="false">IF(AND(K74&lt;&gt;"",W74&lt;&gt;""),W74-K74,"")</f>
        <v/>
      </c>
      <c r="Y74" s="81" t="str">
        <f aca="false">IF(AND(X74&lt;&gt;"",X74&gt;0),IF(X74&lt;=Settings!C8,"Yes","No"),"")</f>
        <v/>
      </c>
      <c r="Z74" s="83"/>
      <c r="AA74" s="87"/>
      <c r="AB74" s="88" t="str">
        <f aca="false">IF(Z74&lt;&gt;"Closed","",IF(P74&gt;=Settings!$C$10,"OK","LOW"))</f>
        <v/>
      </c>
    </row>
    <row r="75" customFormat="false" ht="15.75" hidden="false" customHeight="true" outlineLevel="0" collapsed="false">
      <c r="B75" s="89" t="str">
        <f aca="false">IF(C75&lt;&gt;"",ROW()-11,"")</f>
        <v/>
      </c>
      <c r="C75" s="90"/>
      <c r="D75" s="90"/>
      <c r="E75" s="90"/>
      <c r="F75" s="90"/>
      <c r="G75" s="90"/>
      <c r="H75" s="91"/>
      <c r="I75" s="91"/>
      <c r="J75" s="90"/>
      <c r="K75" s="92"/>
      <c r="L75" s="92"/>
      <c r="M75" s="89" t="str">
        <f aca="false">IF(AND(L75&lt;&gt;"",Z75="Open"),L75-Settings!$C$13,"")</f>
        <v/>
      </c>
      <c r="N75" s="89" t="str">
        <f aca="false">IF(Z75&lt;&gt;"Open","",IF(L75="","",IF(L75&lt;Settings!$C$13,"OVERDUE",IF(L75&lt;=Settings!$C$13+Settings!C9,"AT RISK","OK"))))</f>
        <v/>
      </c>
      <c r="O75" s="91"/>
      <c r="P75" s="89"/>
      <c r="Q75" s="93"/>
      <c r="R75" s="93"/>
      <c r="S75" s="93"/>
      <c r="T75" s="93" t="str">
        <f aca="false">IF(AND(Q75&gt;0,R75&gt;0),Q75-R75,"")</f>
        <v/>
      </c>
      <c r="U75" s="94" t="str">
        <f aca="false">IFERROR(IF(AND(Q75&gt;0,R75&gt;0),(Q75-R75)/Q75,""),"")</f>
        <v/>
      </c>
      <c r="V75" s="90"/>
      <c r="W75" s="92"/>
      <c r="X75" s="89" t="str">
        <f aca="false">IF(AND(K75&lt;&gt;"",W75&lt;&gt;""),W75-K75,"")</f>
        <v/>
      </c>
      <c r="Y75" s="89" t="str">
        <f aca="false">IF(AND(X75&lt;&gt;"",X75&gt;0),IF(X75&lt;=Settings!C8,"Yes","No"),"")</f>
        <v/>
      </c>
      <c r="Z75" s="91"/>
      <c r="AA75" s="95"/>
      <c r="AB75" s="88" t="str">
        <f aca="false">IF(Z75&lt;&gt;"Closed","",IF(P75&gt;=Settings!$C$10,"OK","LOW"))</f>
        <v/>
      </c>
    </row>
    <row r="76" customFormat="false" ht="15.75" hidden="false" customHeight="true" outlineLevel="0" collapsed="false">
      <c r="B76" s="81" t="str">
        <f aca="false">IF(C76&lt;&gt;"",ROW()-11,"")</f>
        <v/>
      </c>
      <c r="C76" s="82"/>
      <c r="D76" s="82"/>
      <c r="E76" s="82"/>
      <c r="F76" s="82"/>
      <c r="G76" s="82"/>
      <c r="H76" s="83"/>
      <c r="I76" s="83"/>
      <c r="J76" s="82"/>
      <c r="K76" s="84"/>
      <c r="L76" s="84"/>
      <c r="M76" s="81" t="str">
        <f aca="false">IF(AND(L76&lt;&gt;"",Z76="Open"),L76-Settings!$C$13,"")</f>
        <v/>
      </c>
      <c r="N76" s="81" t="str">
        <f aca="false">IF(Z76&lt;&gt;"Open","",IF(L76="","",IF(L76&lt;Settings!$C$13,"OVERDUE",IF(L76&lt;=Settings!$C$13+Settings!C9,"AT RISK","OK"))))</f>
        <v/>
      </c>
      <c r="O76" s="83"/>
      <c r="P76" s="81"/>
      <c r="Q76" s="85"/>
      <c r="R76" s="85"/>
      <c r="S76" s="85"/>
      <c r="T76" s="85" t="str">
        <f aca="false">IF(AND(Q76&gt;0,R76&gt;0),Q76-R76,"")</f>
        <v/>
      </c>
      <c r="U76" s="86" t="str">
        <f aca="false">IFERROR(IF(AND(Q76&gt;0,R76&gt;0),(Q76-R76)/Q76,""),"")</f>
        <v/>
      </c>
      <c r="V76" s="82"/>
      <c r="W76" s="84"/>
      <c r="X76" s="81" t="str">
        <f aca="false">IF(AND(K76&lt;&gt;"",W76&lt;&gt;""),W76-K76,"")</f>
        <v/>
      </c>
      <c r="Y76" s="81" t="str">
        <f aca="false">IF(AND(X76&lt;&gt;"",X76&gt;0),IF(X76&lt;=Settings!C8,"Yes","No"),"")</f>
        <v/>
      </c>
      <c r="Z76" s="83"/>
      <c r="AA76" s="87"/>
      <c r="AB76" s="88" t="str">
        <f aca="false">IF(Z76&lt;&gt;"Closed","",IF(P76&gt;=Settings!$C$10,"OK","LOW"))</f>
        <v/>
      </c>
    </row>
    <row r="77" customFormat="false" ht="15.75" hidden="false" customHeight="true" outlineLevel="0" collapsed="false">
      <c r="B77" s="89" t="str">
        <f aca="false">IF(C77&lt;&gt;"",ROW()-11,"")</f>
        <v/>
      </c>
      <c r="C77" s="90"/>
      <c r="D77" s="90"/>
      <c r="E77" s="90"/>
      <c r="F77" s="90"/>
      <c r="G77" s="90"/>
      <c r="H77" s="91"/>
      <c r="I77" s="91"/>
      <c r="J77" s="90"/>
      <c r="K77" s="92"/>
      <c r="L77" s="92"/>
      <c r="M77" s="89" t="str">
        <f aca="false">IF(AND(L77&lt;&gt;"",Z77="Open"),L77-Settings!$C$13,"")</f>
        <v/>
      </c>
      <c r="N77" s="89" t="str">
        <f aca="false">IF(Z77&lt;&gt;"Open","",IF(L77="","",IF(L77&lt;Settings!$C$13,"OVERDUE",IF(L77&lt;=Settings!$C$13+Settings!C9,"AT RISK","OK"))))</f>
        <v/>
      </c>
      <c r="O77" s="91"/>
      <c r="P77" s="89"/>
      <c r="Q77" s="93"/>
      <c r="R77" s="93"/>
      <c r="S77" s="93"/>
      <c r="T77" s="93" t="str">
        <f aca="false">IF(AND(Q77&gt;0,R77&gt;0),Q77-R77,"")</f>
        <v/>
      </c>
      <c r="U77" s="94" t="str">
        <f aca="false">IFERROR(IF(AND(Q77&gt;0,R77&gt;0),(Q77-R77)/Q77,""),"")</f>
        <v/>
      </c>
      <c r="V77" s="90"/>
      <c r="W77" s="92"/>
      <c r="X77" s="89" t="str">
        <f aca="false">IF(AND(K77&lt;&gt;"",W77&lt;&gt;""),W77-K77,"")</f>
        <v/>
      </c>
      <c r="Y77" s="89" t="str">
        <f aca="false">IF(AND(X77&lt;&gt;"",X77&gt;0),IF(X77&lt;=Settings!C8,"Yes","No"),"")</f>
        <v/>
      </c>
      <c r="Z77" s="91"/>
      <c r="AA77" s="95"/>
      <c r="AB77" s="88" t="str">
        <f aca="false">IF(Z77&lt;&gt;"Closed","",IF(P77&gt;=Settings!$C$10,"OK","LOW"))</f>
        <v/>
      </c>
    </row>
    <row r="78" customFormat="false" ht="15.75" hidden="false" customHeight="true" outlineLevel="0" collapsed="false">
      <c r="B78" s="81" t="str">
        <f aca="false">IF(C78&lt;&gt;"",ROW()-11,"")</f>
        <v/>
      </c>
      <c r="C78" s="82"/>
      <c r="D78" s="82"/>
      <c r="E78" s="82"/>
      <c r="F78" s="82"/>
      <c r="G78" s="82"/>
      <c r="H78" s="83"/>
      <c r="I78" s="83"/>
      <c r="J78" s="82"/>
      <c r="K78" s="84"/>
      <c r="L78" s="84"/>
      <c r="M78" s="81" t="str">
        <f aca="false">IF(AND(L78&lt;&gt;"",Z78="Open"),L78-Settings!$C$13,"")</f>
        <v/>
      </c>
      <c r="N78" s="81" t="str">
        <f aca="false">IF(Z78&lt;&gt;"Open","",IF(L78="","",IF(L78&lt;Settings!$C$13,"OVERDUE",IF(L78&lt;=Settings!$C$13+Settings!C9,"AT RISK","OK"))))</f>
        <v/>
      </c>
      <c r="O78" s="83"/>
      <c r="P78" s="81"/>
      <c r="Q78" s="85"/>
      <c r="R78" s="85"/>
      <c r="S78" s="85"/>
      <c r="T78" s="85" t="str">
        <f aca="false">IF(AND(Q78&gt;0,R78&gt;0),Q78-R78,"")</f>
        <v/>
      </c>
      <c r="U78" s="86" t="str">
        <f aca="false">IFERROR(IF(AND(Q78&gt;0,R78&gt;0),(Q78-R78)/Q78,""),"")</f>
        <v/>
      </c>
      <c r="V78" s="82"/>
      <c r="W78" s="84"/>
      <c r="X78" s="81" t="str">
        <f aca="false">IF(AND(K78&lt;&gt;"",W78&lt;&gt;""),W78-K78,"")</f>
        <v/>
      </c>
      <c r="Y78" s="81" t="str">
        <f aca="false">IF(AND(X78&lt;&gt;"",X78&gt;0),IF(X78&lt;=Settings!C8,"Yes","No"),"")</f>
        <v/>
      </c>
      <c r="Z78" s="83"/>
      <c r="AA78" s="87"/>
      <c r="AB78" s="88" t="str">
        <f aca="false">IF(Z78&lt;&gt;"Closed","",IF(P78&gt;=Settings!$C$10,"OK","LOW"))</f>
        <v/>
      </c>
    </row>
    <row r="79" customFormat="false" ht="15.75" hidden="false" customHeight="true" outlineLevel="0" collapsed="false">
      <c r="B79" s="89" t="str">
        <f aca="false">IF(C79&lt;&gt;"",ROW()-11,"")</f>
        <v/>
      </c>
      <c r="C79" s="90"/>
      <c r="D79" s="90"/>
      <c r="E79" s="90"/>
      <c r="F79" s="90"/>
      <c r="G79" s="90"/>
      <c r="H79" s="91"/>
      <c r="I79" s="91"/>
      <c r="J79" s="90"/>
      <c r="K79" s="92"/>
      <c r="L79" s="92"/>
      <c r="M79" s="89" t="str">
        <f aca="false">IF(AND(L79&lt;&gt;"",Z79="Open"),L79-Settings!$C$13,"")</f>
        <v/>
      </c>
      <c r="N79" s="89" t="str">
        <f aca="false">IF(Z79&lt;&gt;"Open","",IF(L79="","",IF(L79&lt;Settings!$C$13,"OVERDUE",IF(L79&lt;=Settings!$C$13+Settings!C9,"AT RISK","OK"))))</f>
        <v/>
      </c>
      <c r="O79" s="91"/>
      <c r="P79" s="89"/>
      <c r="Q79" s="93"/>
      <c r="R79" s="93"/>
      <c r="S79" s="93"/>
      <c r="T79" s="93" t="str">
        <f aca="false">IF(AND(Q79&gt;0,R79&gt;0),Q79-R79,"")</f>
        <v/>
      </c>
      <c r="U79" s="94" t="str">
        <f aca="false">IFERROR(IF(AND(Q79&gt;0,R79&gt;0),(Q79-R79)/Q79,""),"")</f>
        <v/>
      </c>
      <c r="V79" s="90"/>
      <c r="W79" s="92"/>
      <c r="X79" s="89" t="str">
        <f aca="false">IF(AND(K79&lt;&gt;"",W79&lt;&gt;""),W79-K79,"")</f>
        <v/>
      </c>
      <c r="Y79" s="89" t="str">
        <f aca="false">IF(AND(X79&lt;&gt;"",X79&gt;0),IF(X79&lt;=Settings!C8,"Yes","No"),"")</f>
        <v/>
      </c>
      <c r="Z79" s="91"/>
      <c r="AA79" s="95"/>
      <c r="AB79" s="88" t="str">
        <f aca="false">IF(Z79&lt;&gt;"Closed","",IF(P79&gt;=Settings!$C$10,"OK","LOW"))</f>
        <v/>
      </c>
    </row>
    <row r="80" customFormat="false" ht="15.75" hidden="false" customHeight="true" outlineLevel="0" collapsed="false">
      <c r="B80" s="81" t="str">
        <f aca="false">IF(C80&lt;&gt;"",ROW()-11,"")</f>
        <v/>
      </c>
      <c r="C80" s="82"/>
      <c r="D80" s="82"/>
      <c r="E80" s="82"/>
      <c r="F80" s="82"/>
      <c r="G80" s="82"/>
      <c r="H80" s="83"/>
      <c r="I80" s="83"/>
      <c r="J80" s="82"/>
      <c r="K80" s="84"/>
      <c r="L80" s="84"/>
      <c r="M80" s="81" t="str">
        <f aca="false">IF(AND(L80&lt;&gt;"",Z80="Open"),L80-Settings!$C$13,"")</f>
        <v/>
      </c>
      <c r="N80" s="81" t="str">
        <f aca="false">IF(Z80&lt;&gt;"Open","",IF(L80="","",IF(L80&lt;Settings!$C$13,"OVERDUE",IF(L80&lt;=Settings!$C$13+Settings!C9,"AT RISK","OK"))))</f>
        <v/>
      </c>
      <c r="O80" s="83"/>
      <c r="P80" s="81"/>
      <c r="Q80" s="85"/>
      <c r="R80" s="85"/>
      <c r="S80" s="85"/>
      <c r="T80" s="85" t="str">
        <f aca="false">IF(AND(Q80&gt;0,R80&gt;0),Q80-R80,"")</f>
        <v/>
      </c>
      <c r="U80" s="86" t="str">
        <f aca="false">IFERROR(IF(AND(Q80&gt;0,R80&gt;0),(Q80-R80)/Q80,""),"")</f>
        <v/>
      </c>
      <c r="V80" s="82"/>
      <c r="W80" s="84"/>
      <c r="X80" s="81" t="str">
        <f aca="false">IF(AND(K80&lt;&gt;"",W80&lt;&gt;""),W80-K80,"")</f>
        <v/>
      </c>
      <c r="Y80" s="81" t="str">
        <f aca="false">IF(AND(X80&lt;&gt;"",X80&gt;0),IF(X80&lt;=Settings!C8,"Yes","No"),"")</f>
        <v/>
      </c>
      <c r="Z80" s="83"/>
      <c r="AA80" s="87"/>
      <c r="AB80" s="88" t="str">
        <f aca="false">IF(Z80&lt;&gt;"Closed","",IF(P80&gt;=Settings!$C$10,"OK","LOW"))</f>
        <v/>
      </c>
    </row>
    <row r="81" customFormat="false" ht="15.75" hidden="false" customHeight="true" outlineLevel="0" collapsed="false">
      <c r="B81" s="89" t="str">
        <f aca="false">IF(C81&lt;&gt;"",ROW()-11,"")</f>
        <v/>
      </c>
      <c r="C81" s="90"/>
      <c r="D81" s="90"/>
      <c r="E81" s="90"/>
      <c r="F81" s="90"/>
      <c r="G81" s="90"/>
      <c r="H81" s="91"/>
      <c r="I81" s="91"/>
      <c r="J81" s="90"/>
      <c r="K81" s="92"/>
      <c r="L81" s="92"/>
      <c r="M81" s="89" t="str">
        <f aca="false">IF(AND(L81&lt;&gt;"",Z81="Open"),L81-Settings!$C$13,"")</f>
        <v/>
      </c>
      <c r="N81" s="89" t="str">
        <f aca="false">IF(Z81&lt;&gt;"Open","",IF(L81="","",IF(L81&lt;Settings!$C$13,"OVERDUE",IF(L81&lt;=Settings!$C$13+Settings!C9,"AT RISK","OK"))))</f>
        <v/>
      </c>
      <c r="O81" s="91"/>
      <c r="P81" s="89"/>
      <c r="Q81" s="93"/>
      <c r="R81" s="93"/>
      <c r="S81" s="93"/>
      <c r="T81" s="93" t="str">
        <f aca="false">IF(AND(Q81&gt;0,R81&gt;0),Q81-R81,"")</f>
        <v/>
      </c>
      <c r="U81" s="94" t="str">
        <f aca="false">IFERROR(IF(AND(Q81&gt;0,R81&gt;0),(Q81-R81)/Q81,""),"")</f>
        <v/>
      </c>
      <c r="V81" s="90"/>
      <c r="W81" s="92"/>
      <c r="X81" s="89" t="str">
        <f aca="false">IF(AND(K81&lt;&gt;"",W81&lt;&gt;""),W81-K81,"")</f>
        <v/>
      </c>
      <c r="Y81" s="89" t="str">
        <f aca="false">IF(AND(X81&lt;&gt;"",X81&gt;0),IF(X81&lt;=Settings!C8,"Yes","No"),"")</f>
        <v/>
      </c>
      <c r="Z81" s="91"/>
      <c r="AA81" s="95"/>
      <c r="AB81" s="88" t="str">
        <f aca="false">IF(Z81&lt;&gt;"Closed","",IF(P81&gt;=Settings!$C$10,"OK","LOW"))</f>
        <v/>
      </c>
    </row>
    <row r="82" customFormat="false" ht="15.75" hidden="false" customHeight="true" outlineLevel="0" collapsed="false">
      <c r="B82" s="81" t="str">
        <f aca="false">IF(C82&lt;&gt;"",ROW()-11,"")</f>
        <v/>
      </c>
      <c r="C82" s="82"/>
      <c r="D82" s="82"/>
      <c r="E82" s="82"/>
      <c r="F82" s="82"/>
      <c r="G82" s="82"/>
      <c r="H82" s="83"/>
      <c r="I82" s="83"/>
      <c r="J82" s="82"/>
      <c r="K82" s="84"/>
      <c r="L82" s="84"/>
      <c r="M82" s="81" t="str">
        <f aca="false">IF(AND(L82&lt;&gt;"",Z82="Open"),L82-Settings!$C$13,"")</f>
        <v/>
      </c>
      <c r="N82" s="81" t="str">
        <f aca="false">IF(Z82&lt;&gt;"Open","",IF(L82="","",IF(L82&lt;Settings!$C$13,"OVERDUE",IF(L82&lt;=Settings!$C$13+Settings!C9,"AT RISK","OK"))))</f>
        <v/>
      </c>
      <c r="O82" s="83"/>
      <c r="P82" s="81"/>
      <c r="Q82" s="85"/>
      <c r="R82" s="85"/>
      <c r="S82" s="85"/>
      <c r="T82" s="85" t="str">
        <f aca="false">IF(AND(Q82&gt;0,R82&gt;0),Q82-R82,"")</f>
        <v/>
      </c>
      <c r="U82" s="86" t="str">
        <f aca="false">IFERROR(IF(AND(Q82&gt;0,R82&gt;0),(Q82-R82)/Q82,""),"")</f>
        <v/>
      </c>
      <c r="V82" s="82"/>
      <c r="W82" s="84"/>
      <c r="X82" s="81" t="str">
        <f aca="false">IF(AND(K82&lt;&gt;"",W82&lt;&gt;""),W82-K82,"")</f>
        <v/>
      </c>
      <c r="Y82" s="81" t="str">
        <f aca="false">IF(AND(X82&lt;&gt;"",X82&gt;0),IF(X82&lt;=Settings!C8,"Yes","No"),"")</f>
        <v/>
      </c>
      <c r="Z82" s="83"/>
      <c r="AA82" s="87"/>
      <c r="AB82" s="88" t="str">
        <f aca="false">IF(Z82&lt;&gt;"Closed","",IF(P82&gt;=Settings!$C$10,"OK","LOW"))</f>
        <v/>
      </c>
    </row>
    <row r="83" customFormat="false" ht="15.75" hidden="false" customHeight="true" outlineLevel="0" collapsed="false">
      <c r="B83" s="89" t="str">
        <f aca="false">IF(C83&lt;&gt;"",ROW()-11,"")</f>
        <v/>
      </c>
      <c r="C83" s="90"/>
      <c r="D83" s="90"/>
      <c r="E83" s="90"/>
      <c r="F83" s="90"/>
      <c r="G83" s="90"/>
      <c r="H83" s="91"/>
      <c r="I83" s="91"/>
      <c r="J83" s="90"/>
      <c r="K83" s="92"/>
      <c r="L83" s="92"/>
      <c r="M83" s="89" t="str">
        <f aca="false">IF(AND(L83&lt;&gt;"",Z83="Open"),L83-Settings!$C$13,"")</f>
        <v/>
      </c>
      <c r="N83" s="89" t="str">
        <f aca="false">IF(Z83&lt;&gt;"Open","",IF(L83="","",IF(L83&lt;Settings!$C$13,"OVERDUE",IF(L83&lt;=Settings!$C$13+Settings!C9,"AT RISK","OK"))))</f>
        <v/>
      </c>
      <c r="O83" s="91"/>
      <c r="P83" s="89"/>
      <c r="Q83" s="93"/>
      <c r="R83" s="93"/>
      <c r="S83" s="93"/>
      <c r="T83" s="93" t="str">
        <f aca="false">IF(AND(Q83&gt;0,R83&gt;0),Q83-R83,"")</f>
        <v/>
      </c>
      <c r="U83" s="94" t="str">
        <f aca="false">IFERROR(IF(AND(Q83&gt;0,R83&gt;0),(Q83-R83)/Q83,""),"")</f>
        <v/>
      </c>
      <c r="V83" s="90"/>
      <c r="W83" s="92"/>
      <c r="X83" s="89" t="str">
        <f aca="false">IF(AND(K83&lt;&gt;"",W83&lt;&gt;""),W83-K83,"")</f>
        <v/>
      </c>
      <c r="Y83" s="89" t="str">
        <f aca="false">IF(AND(X83&lt;&gt;"",X83&gt;0),IF(X83&lt;=Settings!C8,"Yes","No"),"")</f>
        <v/>
      </c>
      <c r="Z83" s="91"/>
      <c r="AA83" s="95"/>
      <c r="AB83" s="88" t="str">
        <f aca="false">IF(Z83&lt;&gt;"Closed","",IF(P83&gt;=Settings!$C$10,"OK","LOW"))</f>
        <v/>
      </c>
    </row>
    <row r="84" customFormat="false" ht="15.75" hidden="false" customHeight="true" outlineLevel="0" collapsed="false">
      <c r="B84" s="81" t="str">
        <f aca="false">IF(C84&lt;&gt;"",ROW()-11,"")</f>
        <v/>
      </c>
      <c r="C84" s="82"/>
      <c r="D84" s="82"/>
      <c r="E84" s="82"/>
      <c r="F84" s="82"/>
      <c r="G84" s="82"/>
      <c r="H84" s="83"/>
      <c r="I84" s="83"/>
      <c r="J84" s="82"/>
      <c r="K84" s="84"/>
      <c r="L84" s="84"/>
      <c r="M84" s="81" t="str">
        <f aca="false">IF(AND(L84&lt;&gt;"",Z84="Open"),L84-Settings!$C$13,"")</f>
        <v/>
      </c>
      <c r="N84" s="81" t="str">
        <f aca="false">IF(Z84&lt;&gt;"Open","",IF(L84="","",IF(L84&lt;Settings!$C$13,"OVERDUE",IF(L84&lt;=Settings!$C$13+Settings!C9,"AT RISK","OK"))))</f>
        <v/>
      </c>
      <c r="O84" s="83"/>
      <c r="P84" s="81"/>
      <c r="Q84" s="85"/>
      <c r="R84" s="85"/>
      <c r="S84" s="85"/>
      <c r="T84" s="85" t="str">
        <f aca="false">IF(AND(Q84&gt;0,R84&gt;0),Q84-R84,"")</f>
        <v/>
      </c>
      <c r="U84" s="86" t="str">
        <f aca="false">IFERROR(IF(AND(Q84&gt;0,R84&gt;0),(Q84-R84)/Q84,""),"")</f>
        <v/>
      </c>
      <c r="V84" s="82"/>
      <c r="W84" s="84"/>
      <c r="X84" s="81" t="str">
        <f aca="false">IF(AND(K84&lt;&gt;"",W84&lt;&gt;""),W84-K84,"")</f>
        <v/>
      </c>
      <c r="Y84" s="81" t="str">
        <f aca="false">IF(AND(X84&lt;&gt;"",X84&gt;0),IF(X84&lt;=Settings!C8,"Yes","No"),"")</f>
        <v/>
      </c>
      <c r="Z84" s="83"/>
      <c r="AA84" s="87"/>
      <c r="AB84" s="88" t="str">
        <f aca="false">IF(Z84&lt;&gt;"Closed","",IF(P84&gt;=Settings!$C$10,"OK","LOW"))</f>
        <v/>
      </c>
    </row>
    <row r="85" customFormat="false" ht="15.75" hidden="false" customHeight="true" outlineLevel="0" collapsed="false">
      <c r="B85" s="89" t="str">
        <f aca="false">IF(C85&lt;&gt;"",ROW()-11,"")</f>
        <v/>
      </c>
      <c r="C85" s="90"/>
      <c r="D85" s="90"/>
      <c r="E85" s="90"/>
      <c r="F85" s="90"/>
      <c r="G85" s="90"/>
      <c r="H85" s="91"/>
      <c r="I85" s="91"/>
      <c r="J85" s="90"/>
      <c r="K85" s="92"/>
      <c r="L85" s="92"/>
      <c r="M85" s="89" t="str">
        <f aca="false">IF(AND(L85&lt;&gt;"",Z85="Open"),L85-Settings!$C$13,"")</f>
        <v/>
      </c>
      <c r="N85" s="89" t="str">
        <f aca="false">IF(Z85&lt;&gt;"Open","",IF(L85="","",IF(L85&lt;Settings!$C$13,"OVERDUE",IF(L85&lt;=Settings!$C$13+Settings!C9,"AT RISK","OK"))))</f>
        <v/>
      </c>
      <c r="O85" s="91"/>
      <c r="P85" s="89"/>
      <c r="Q85" s="93"/>
      <c r="R85" s="93"/>
      <c r="S85" s="93"/>
      <c r="T85" s="93" t="str">
        <f aca="false">IF(AND(Q85&gt;0,R85&gt;0),Q85-R85,"")</f>
        <v/>
      </c>
      <c r="U85" s="94" t="str">
        <f aca="false">IFERROR(IF(AND(Q85&gt;0,R85&gt;0),(Q85-R85)/Q85,""),"")</f>
        <v/>
      </c>
      <c r="V85" s="90"/>
      <c r="W85" s="92"/>
      <c r="X85" s="89" t="str">
        <f aca="false">IF(AND(K85&lt;&gt;"",W85&lt;&gt;""),W85-K85,"")</f>
        <v/>
      </c>
      <c r="Y85" s="89" t="str">
        <f aca="false">IF(AND(X85&lt;&gt;"",X85&gt;0),IF(X85&lt;=Settings!C8,"Yes","No"),"")</f>
        <v/>
      </c>
      <c r="Z85" s="91"/>
      <c r="AA85" s="95"/>
      <c r="AB85" s="88" t="str">
        <f aca="false">IF(Z85&lt;&gt;"Closed","",IF(P85&gt;=Settings!$C$10,"OK","LOW"))</f>
        <v/>
      </c>
    </row>
    <row r="86" customFormat="false" ht="15.75" hidden="false" customHeight="true" outlineLevel="0" collapsed="false">
      <c r="B86" s="81" t="str">
        <f aca="false">IF(C86&lt;&gt;"",ROW()-11,"")</f>
        <v/>
      </c>
      <c r="C86" s="82"/>
      <c r="D86" s="82"/>
      <c r="E86" s="82"/>
      <c r="F86" s="82"/>
      <c r="G86" s="82"/>
      <c r="H86" s="83"/>
      <c r="I86" s="83"/>
      <c r="J86" s="82"/>
      <c r="K86" s="84"/>
      <c r="L86" s="84"/>
      <c r="M86" s="81" t="str">
        <f aca="false">IF(AND(L86&lt;&gt;"",Z86="Open"),L86-Settings!$C$13,"")</f>
        <v/>
      </c>
      <c r="N86" s="81" t="str">
        <f aca="false">IF(Z86&lt;&gt;"Open","",IF(L86="","",IF(L86&lt;Settings!$C$13,"OVERDUE",IF(L86&lt;=Settings!$C$13+Settings!C9,"AT RISK","OK"))))</f>
        <v/>
      </c>
      <c r="O86" s="83"/>
      <c r="P86" s="81"/>
      <c r="Q86" s="85"/>
      <c r="R86" s="85"/>
      <c r="S86" s="85"/>
      <c r="T86" s="85" t="str">
        <f aca="false">IF(AND(Q86&gt;0,R86&gt;0),Q86-R86,"")</f>
        <v/>
      </c>
      <c r="U86" s="86" t="str">
        <f aca="false">IFERROR(IF(AND(Q86&gt;0,R86&gt;0),(Q86-R86)/Q86,""),"")</f>
        <v/>
      </c>
      <c r="V86" s="82"/>
      <c r="W86" s="84"/>
      <c r="X86" s="81" t="str">
        <f aca="false">IF(AND(K86&lt;&gt;"",W86&lt;&gt;""),W86-K86,"")</f>
        <v/>
      </c>
      <c r="Y86" s="81" t="str">
        <f aca="false">IF(AND(X86&lt;&gt;"",X86&gt;0),IF(X86&lt;=Settings!C8,"Yes","No"),"")</f>
        <v/>
      </c>
      <c r="Z86" s="83"/>
      <c r="AA86" s="87"/>
      <c r="AB86" s="88" t="str">
        <f aca="false">IF(Z86&lt;&gt;"Closed","",IF(P86&gt;=Settings!$C$10,"OK","LOW"))</f>
        <v/>
      </c>
    </row>
    <row r="87" customFormat="false" ht="15.75" hidden="false" customHeight="true" outlineLevel="0" collapsed="false">
      <c r="B87" s="89" t="str">
        <f aca="false">IF(C87&lt;&gt;"",ROW()-11,"")</f>
        <v/>
      </c>
      <c r="C87" s="90"/>
      <c r="D87" s="90"/>
      <c r="E87" s="90"/>
      <c r="F87" s="90"/>
      <c r="G87" s="90"/>
      <c r="H87" s="91"/>
      <c r="I87" s="91"/>
      <c r="J87" s="90"/>
      <c r="K87" s="92"/>
      <c r="L87" s="92"/>
      <c r="M87" s="89" t="str">
        <f aca="false">IF(AND(L87&lt;&gt;"",Z87="Open"),L87-Settings!$C$13,"")</f>
        <v/>
      </c>
      <c r="N87" s="89" t="str">
        <f aca="false">IF(Z87&lt;&gt;"Open","",IF(L87="","",IF(L87&lt;Settings!$C$13,"OVERDUE",IF(L87&lt;=Settings!$C$13+Settings!C9,"AT RISK","OK"))))</f>
        <v/>
      </c>
      <c r="O87" s="91"/>
      <c r="P87" s="89"/>
      <c r="Q87" s="93"/>
      <c r="R87" s="93"/>
      <c r="S87" s="93"/>
      <c r="T87" s="93" t="str">
        <f aca="false">IF(AND(Q87&gt;0,R87&gt;0),Q87-R87,"")</f>
        <v/>
      </c>
      <c r="U87" s="94" t="str">
        <f aca="false">IFERROR(IF(AND(Q87&gt;0,R87&gt;0),(Q87-R87)/Q87,""),"")</f>
        <v/>
      </c>
      <c r="V87" s="90"/>
      <c r="W87" s="92"/>
      <c r="X87" s="89" t="str">
        <f aca="false">IF(AND(K87&lt;&gt;"",W87&lt;&gt;""),W87-K87,"")</f>
        <v/>
      </c>
      <c r="Y87" s="89" t="str">
        <f aca="false">IF(AND(X87&lt;&gt;"",X87&gt;0),IF(X87&lt;=Settings!C8,"Yes","No"),"")</f>
        <v/>
      </c>
      <c r="Z87" s="91"/>
      <c r="AA87" s="95"/>
      <c r="AB87" s="88" t="str">
        <f aca="false">IF(Z87&lt;&gt;"Closed","",IF(P87&gt;=Settings!$C$10,"OK","LOW"))</f>
        <v/>
      </c>
    </row>
    <row r="88" customFormat="false" ht="15.75" hidden="false" customHeight="true" outlineLevel="0" collapsed="false">
      <c r="B88" s="81" t="str">
        <f aca="false">IF(C88&lt;&gt;"",ROW()-11,"")</f>
        <v/>
      </c>
      <c r="C88" s="82"/>
      <c r="D88" s="82"/>
      <c r="E88" s="82"/>
      <c r="F88" s="82"/>
      <c r="G88" s="82"/>
      <c r="H88" s="83"/>
      <c r="I88" s="83"/>
      <c r="J88" s="82"/>
      <c r="K88" s="84"/>
      <c r="L88" s="84"/>
      <c r="M88" s="81" t="str">
        <f aca="false">IF(AND(L88&lt;&gt;"",Z88="Open"),L88-Settings!$C$13,"")</f>
        <v/>
      </c>
      <c r="N88" s="81" t="str">
        <f aca="false">IF(Z88&lt;&gt;"Open","",IF(L88="","",IF(L88&lt;Settings!$C$13,"OVERDUE",IF(L88&lt;=Settings!$C$13+Settings!C9,"AT RISK","OK"))))</f>
        <v/>
      </c>
      <c r="O88" s="83"/>
      <c r="P88" s="81"/>
      <c r="Q88" s="85"/>
      <c r="R88" s="85"/>
      <c r="S88" s="85"/>
      <c r="T88" s="85" t="str">
        <f aca="false">IF(AND(Q88&gt;0,R88&gt;0),Q88-R88,"")</f>
        <v/>
      </c>
      <c r="U88" s="86" t="str">
        <f aca="false">IFERROR(IF(AND(Q88&gt;0,R88&gt;0),(Q88-R88)/Q88,""),"")</f>
        <v/>
      </c>
      <c r="V88" s="82"/>
      <c r="W88" s="84"/>
      <c r="X88" s="81" t="str">
        <f aca="false">IF(AND(K88&lt;&gt;"",W88&lt;&gt;""),W88-K88,"")</f>
        <v/>
      </c>
      <c r="Y88" s="81" t="str">
        <f aca="false">IF(AND(X88&lt;&gt;"",X88&gt;0),IF(X88&lt;=Settings!C8,"Yes","No"),"")</f>
        <v/>
      </c>
      <c r="Z88" s="83"/>
      <c r="AA88" s="87"/>
      <c r="AB88" s="88" t="str">
        <f aca="false">IF(Z88&lt;&gt;"Closed","",IF(P88&gt;=Settings!$C$10,"OK","LOW"))</f>
        <v/>
      </c>
    </row>
    <row r="89" customFormat="false" ht="15.75" hidden="false" customHeight="true" outlineLevel="0" collapsed="false">
      <c r="B89" s="89" t="str">
        <f aca="false">IF(C89&lt;&gt;"",ROW()-11,"")</f>
        <v/>
      </c>
      <c r="C89" s="90"/>
      <c r="D89" s="90"/>
      <c r="E89" s="90"/>
      <c r="F89" s="90"/>
      <c r="G89" s="90"/>
      <c r="H89" s="91"/>
      <c r="I89" s="91"/>
      <c r="J89" s="90"/>
      <c r="K89" s="92"/>
      <c r="L89" s="92"/>
      <c r="M89" s="89" t="str">
        <f aca="false">IF(AND(L89&lt;&gt;"",Z89="Open"),L89-Settings!$C$13,"")</f>
        <v/>
      </c>
      <c r="N89" s="89" t="str">
        <f aca="false">IF(Z89&lt;&gt;"Open","",IF(L89="","",IF(L89&lt;Settings!$C$13,"OVERDUE",IF(L89&lt;=Settings!$C$13+Settings!C9,"AT RISK","OK"))))</f>
        <v/>
      </c>
      <c r="O89" s="91"/>
      <c r="P89" s="89"/>
      <c r="Q89" s="93"/>
      <c r="R89" s="93"/>
      <c r="S89" s="93"/>
      <c r="T89" s="93" t="str">
        <f aca="false">IF(AND(Q89&gt;0,R89&gt;0),Q89-R89,"")</f>
        <v/>
      </c>
      <c r="U89" s="94" t="str">
        <f aca="false">IFERROR(IF(AND(Q89&gt;0,R89&gt;0),(Q89-R89)/Q89,""),"")</f>
        <v/>
      </c>
      <c r="V89" s="90"/>
      <c r="W89" s="92"/>
      <c r="X89" s="89" t="str">
        <f aca="false">IF(AND(K89&lt;&gt;"",W89&lt;&gt;""),W89-K89,"")</f>
        <v/>
      </c>
      <c r="Y89" s="89" t="str">
        <f aca="false">IF(AND(X89&lt;&gt;"",X89&gt;0),IF(X89&lt;=Settings!C8,"Yes","No"),"")</f>
        <v/>
      </c>
      <c r="Z89" s="91"/>
      <c r="AA89" s="95"/>
      <c r="AB89" s="88" t="str">
        <f aca="false">IF(Z89&lt;&gt;"Closed","",IF(P89&gt;=Settings!$C$10,"OK","LOW"))</f>
        <v/>
      </c>
    </row>
    <row r="90" customFormat="false" ht="15.75" hidden="false" customHeight="true" outlineLevel="0" collapsed="false">
      <c r="B90" s="81" t="str">
        <f aca="false">IF(C90&lt;&gt;"",ROW()-11,"")</f>
        <v/>
      </c>
      <c r="C90" s="82"/>
      <c r="D90" s="82"/>
      <c r="E90" s="82"/>
      <c r="F90" s="82"/>
      <c r="G90" s="82"/>
      <c r="H90" s="83"/>
      <c r="I90" s="83"/>
      <c r="J90" s="82"/>
      <c r="K90" s="84"/>
      <c r="L90" s="84"/>
      <c r="M90" s="81" t="str">
        <f aca="false">IF(AND(L90&lt;&gt;"",Z90="Open"),L90-Settings!$C$13,"")</f>
        <v/>
      </c>
      <c r="N90" s="81" t="str">
        <f aca="false">IF(Z90&lt;&gt;"Open","",IF(L90="","",IF(L90&lt;Settings!$C$13,"OVERDUE",IF(L90&lt;=Settings!$C$13+Settings!C9,"AT RISK","OK"))))</f>
        <v/>
      </c>
      <c r="O90" s="83"/>
      <c r="P90" s="81"/>
      <c r="Q90" s="85"/>
      <c r="R90" s="85"/>
      <c r="S90" s="85"/>
      <c r="T90" s="85" t="str">
        <f aca="false">IF(AND(Q90&gt;0,R90&gt;0),Q90-R90,"")</f>
        <v/>
      </c>
      <c r="U90" s="86" t="str">
        <f aca="false">IFERROR(IF(AND(Q90&gt;0,R90&gt;0),(Q90-R90)/Q90,""),"")</f>
        <v/>
      </c>
      <c r="V90" s="82"/>
      <c r="W90" s="84"/>
      <c r="X90" s="81" t="str">
        <f aca="false">IF(AND(K90&lt;&gt;"",W90&lt;&gt;""),W90-K90,"")</f>
        <v/>
      </c>
      <c r="Y90" s="81" t="str">
        <f aca="false">IF(AND(X90&lt;&gt;"",X90&gt;0),IF(X90&lt;=Settings!C8,"Yes","No"),"")</f>
        <v/>
      </c>
      <c r="Z90" s="83"/>
      <c r="AA90" s="87"/>
      <c r="AB90" s="88" t="str">
        <f aca="false">IF(Z90&lt;&gt;"Closed","",IF(P90&gt;=Settings!$C$10,"OK","LOW"))</f>
        <v/>
      </c>
    </row>
    <row r="91" customFormat="false" ht="15.75" hidden="false" customHeight="true" outlineLevel="0" collapsed="false">
      <c r="B91" s="89" t="str">
        <f aca="false">IF(C91&lt;&gt;"",ROW()-11,"")</f>
        <v/>
      </c>
      <c r="C91" s="90"/>
      <c r="D91" s="90"/>
      <c r="E91" s="90"/>
      <c r="F91" s="90"/>
      <c r="G91" s="90"/>
      <c r="H91" s="91"/>
      <c r="I91" s="91"/>
      <c r="J91" s="90"/>
      <c r="K91" s="92"/>
      <c r="L91" s="92"/>
      <c r="M91" s="89" t="str">
        <f aca="false">IF(AND(L91&lt;&gt;"",Z91="Open"),L91-Settings!$C$13,"")</f>
        <v/>
      </c>
      <c r="N91" s="89" t="str">
        <f aca="false">IF(Z91&lt;&gt;"Open","",IF(L91="","",IF(L91&lt;Settings!$C$13,"OVERDUE",IF(L91&lt;=Settings!$C$13+Settings!C9,"AT RISK","OK"))))</f>
        <v/>
      </c>
      <c r="O91" s="91"/>
      <c r="P91" s="89"/>
      <c r="Q91" s="93"/>
      <c r="R91" s="93"/>
      <c r="S91" s="93"/>
      <c r="T91" s="93" t="str">
        <f aca="false">IF(AND(Q91&gt;0,R91&gt;0),Q91-R91,"")</f>
        <v/>
      </c>
      <c r="U91" s="94" t="str">
        <f aca="false">IFERROR(IF(AND(Q91&gt;0,R91&gt;0),(Q91-R91)/Q91,""),"")</f>
        <v/>
      </c>
      <c r="V91" s="90"/>
      <c r="W91" s="92"/>
      <c r="X91" s="89" t="str">
        <f aca="false">IF(AND(K91&lt;&gt;"",W91&lt;&gt;""),W91-K91,"")</f>
        <v/>
      </c>
      <c r="Y91" s="89" t="str">
        <f aca="false">IF(AND(X91&lt;&gt;"",X91&gt;0),IF(X91&lt;=Settings!C8,"Yes","No"),"")</f>
        <v/>
      </c>
      <c r="Z91" s="91"/>
      <c r="AA91" s="95"/>
      <c r="AB91" s="88" t="str">
        <f aca="false">IF(Z91&lt;&gt;"Closed","",IF(P91&gt;=Settings!$C$10,"OK","LOW"))</f>
        <v/>
      </c>
    </row>
    <row r="92" customFormat="false" ht="15.75" hidden="false" customHeight="true" outlineLevel="0" collapsed="false">
      <c r="B92" s="81" t="str">
        <f aca="false">IF(C92&lt;&gt;"",ROW()-11,"")</f>
        <v/>
      </c>
      <c r="C92" s="82"/>
      <c r="D92" s="82"/>
      <c r="E92" s="82"/>
      <c r="F92" s="82"/>
      <c r="G92" s="82"/>
      <c r="H92" s="83"/>
      <c r="I92" s="83"/>
      <c r="J92" s="82"/>
      <c r="K92" s="84"/>
      <c r="L92" s="84"/>
      <c r="M92" s="81" t="str">
        <f aca="false">IF(AND(L92&lt;&gt;"",Z92="Open"),L92-Settings!$C$13,"")</f>
        <v/>
      </c>
      <c r="N92" s="81" t="str">
        <f aca="false">IF(Z92&lt;&gt;"Open","",IF(L92="","",IF(L92&lt;Settings!$C$13,"OVERDUE",IF(L92&lt;=Settings!$C$13+Settings!C9,"AT RISK","OK"))))</f>
        <v/>
      </c>
      <c r="O92" s="83"/>
      <c r="P92" s="81"/>
      <c r="Q92" s="85"/>
      <c r="R92" s="85"/>
      <c r="S92" s="85"/>
      <c r="T92" s="85" t="str">
        <f aca="false">IF(AND(Q92&gt;0,R92&gt;0),Q92-R92,"")</f>
        <v/>
      </c>
      <c r="U92" s="86" t="str">
        <f aca="false">IFERROR(IF(AND(Q92&gt;0,R92&gt;0),(Q92-R92)/Q92,""),"")</f>
        <v/>
      </c>
      <c r="V92" s="82"/>
      <c r="W92" s="84"/>
      <c r="X92" s="81" t="str">
        <f aca="false">IF(AND(K92&lt;&gt;"",W92&lt;&gt;""),W92-K92,"")</f>
        <v/>
      </c>
      <c r="Y92" s="81" t="str">
        <f aca="false">IF(AND(X92&lt;&gt;"",X92&gt;0),IF(X92&lt;=Settings!C8,"Yes","No"),"")</f>
        <v/>
      </c>
      <c r="Z92" s="83"/>
      <c r="AA92" s="87"/>
      <c r="AB92" s="88" t="str">
        <f aca="false">IF(Z92&lt;&gt;"Closed","",IF(P92&gt;=Settings!$C$10,"OK","LOW"))</f>
        <v/>
      </c>
    </row>
    <row r="93" customFormat="false" ht="15.75" hidden="false" customHeight="true" outlineLevel="0" collapsed="false">
      <c r="B93" s="89" t="str">
        <f aca="false">IF(C93&lt;&gt;"",ROW()-11,"")</f>
        <v/>
      </c>
      <c r="C93" s="90"/>
      <c r="D93" s="90"/>
      <c r="E93" s="90"/>
      <c r="F93" s="90"/>
      <c r="G93" s="90"/>
      <c r="H93" s="91"/>
      <c r="I93" s="91"/>
      <c r="J93" s="90"/>
      <c r="K93" s="92"/>
      <c r="L93" s="92"/>
      <c r="M93" s="89" t="str">
        <f aca="false">IF(AND(L93&lt;&gt;"",Z93="Open"),L93-Settings!$C$13,"")</f>
        <v/>
      </c>
      <c r="N93" s="89" t="str">
        <f aca="false">IF(Z93&lt;&gt;"Open","",IF(L93="","",IF(L93&lt;Settings!$C$13,"OVERDUE",IF(L93&lt;=Settings!$C$13+Settings!C9,"AT RISK","OK"))))</f>
        <v/>
      </c>
      <c r="O93" s="91"/>
      <c r="P93" s="89"/>
      <c r="Q93" s="93"/>
      <c r="R93" s="93"/>
      <c r="S93" s="93"/>
      <c r="T93" s="93" t="str">
        <f aca="false">IF(AND(Q93&gt;0,R93&gt;0),Q93-R93,"")</f>
        <v/>
      </c>
      <c r="U93" s="94" t="str">
        <f aca="false">IFERROR(IF(AND(Q93&gt;0,R93&gt;0),(Q93-R93)/Q93,""),"")</f>
        <v/>
      </c>
      <c r="V93" s="90"/>
      <c r="W93" s="92"/>
      <c r="X93" s="89" t="str">
        <f aca="false">IF(AND(K93&lt;&gt;"",W93&lt;&gt;""),W93-K93,"")</f>
        <v/>
      </c>
      <c r="Y93" s="89" t="str">
        <f aca="false">IF(AND(X93&lt;&gt;"",X93&gt;0),IF(X93&lt;=Settings!C8,"Yes","No"),"")</f>
        <v/>
      </c>
      <c r="Z93" s="91"/>
      <c r="AA93" s="95"/>
      <c r="AB93" s="88" t="str">
        <f aca="false">IF(Z93&lt;&gt;"Closed","",IF(P93&gt;=Settings!$C$10,"OK","LOW"))</f>
        <v/>
      </c>
    </row>
    <row r="94" customFormat="false" ht="15.75" hidden="false" customHeight="true" outlineLevel="0" collapsed="false">
      <c r="B94" s="81" t="str">
        <f aca="false">IF(C94&lt;&gt;"",ROW()-11,"")</f>
        <v/>
      </c>
      <c r="C94" s="82"/>
      <c r="D94" s="82"/>
      <c r="E94" s="82"/>
      <c r="F94" s="82"/>
      <c r="G94" s="82"/>
      <c r="H94" s="83"/>
      <c r="I94" s="83"/>
      <c r="J94" s="82"/>
      <c r="K94" s="84"/>
      <c r="L94" s="84"/>
      <c r="M94" s="81" t="str">
        <f aca="false">IF(AND(L94&lt;&gt;"",Z94="Open"),L94-Settings!$C$13,"")</f>
        <v/>
      </c>
      <c r="N94" s="81" t="str">
        <f aca="false">IF(Z94&lt;&gt;"Open","",IF(L94="","",IF(L94&lt;Settings!$C$13,"OVERDUE",IF(L94&lt;=Settings!$C$13+Settings!C9,"AT RISK","OK"))))</f>
        <v/>
      </c>
      <c r="O94" s="83"/>
      <c r="P94" s="81"/>
      <c r="Q94" s="85"/>
      <c r="R94" s="85"/>
      <c r="S94" s="85"/>
      <c r="T94" s="85" t="str">
        <f aca="false">IF(AND(Q94&gt;0,R94&gt;0),Q94-R94,"")</f>
        <v/>
      </c>
      <c r="U94" s="86" t="str">
        <f aca="false">IFERROR(IF(AND(Q94&gt;0,R94&gt;0),(Q94-R94)/Q94,""),"")</f>
        <v/>
      </c>
      <c r="V94" s="82"/>
      <c r="W94" s="84"/>
      <c r="X94" s="81" t="str">
        <f aca="false">IF(AND(K94&lt;&gt;"",W94&lt;&gt;""),W94-K94,"")</f>
        <v/>
      </c>
      <c r="Y94" s="81" t="str">
        <f aca="false">IF(AND(X94&lt;&gt;"",X94&gt;0),IF(X94&lt;=Settings!C8,"Yes","No"),"")</f>
        <v/>
      </c>
      <c r="Z94" s="83"/>
      <c r="AA94" s="87"/>
      <c r="AB94" s="88" t="str">
        <f aca="false">IF(Z94&lt;&gt;"Closed","",IF(P94&gt;=Settings!$C$10,"OK","LOW"))</f>
        <v/>
      </c>
    </row>
    <row r="95" customFormat="false" ht="15.75" hidden="false" customHeight="true" outlineLevel="0" collapsed="false">
      <c r="B95" s="89" t="str">
        <f aca="false">IF(C95&lt;&gt;"",ROW()-11,"")</f>
        <v/>
      </c>
      <c r="C95" s="90"/>
      <c r="D95" s="90"/>
      <c r="E95" s="90"/>
      <c r="F95" s="90"/>
      <c r="G95" s="90"/>
      <c r="H95" s="91"/>
      <c r="I95" s="91"/>
      <c r="J95" s="90"/>
      <c r="K95" s="92"/>
      <c r="L95" s="92"/>
      <c r="M95" s="89" t="str">
        <f aca="false">IF(AND(L95&lt;&gt;"",Z95="Open"),L95-Settings!$C$13,"")</f>
        <v/>
      </c>
      <c r="N95" s="89" t="str">
        <f aca="false">IF(Z95&lt;&gt;"Open","",IF(L95="","",IF(L95&lt;Settings!$C$13,"OVERDUE",IF(L95&lt;=Settings!$C$13+Settings!C9,"AT RISK","OK"))))</f>
        <v/>
      </c>
      <c r="O95" s="91"/>
      <c r="P95" s="89"/>
      <c r="Q95" s="93"/>
      <c r="R95" s="93"/>
      <c r="S95" s="93"/>
      <c r="T95" s="93" t="str">
        <f aca="false">IF(AND(Q95&gt;0,R95&gt;0),Q95-R95,"")</f>
        <v/>
      </c>
      <c r="U95" s="94" t="str">
        <f aca="false">IFERROR(IF(AND(Q95&gt;0,R95&gt;0),(Q95-R95)/Q95,""),"")</f>
        <v/>
      </c>
      <c r="V95" s="90"/>
      <c r="W95" s="92"/>
      <c r="X95" s="89" t="str">
        <f aca="false">IF(AND(K95&lt;&gt;"",W95&lt;&gt;""),W95-K95,"")</f>
        <v/>
      </c>
      <c r="Y95" s="89" t="str">
        <f aca="false">IF(AND(X95&lt;&gt;"",X95&gt;0),IF(X95&lt;=Settings!C8,"Yes","No"),"")</f>
        <v/>
      </c>
      <c r="Z95" s="91"/>
      <c r="AA95" s="95"/>
      <c r="AB95" s="88" t="str">
        <f aca="false">IF(Z95&lt;&gt;"Closed","",IF(P95&gt;=Settings!$C$10,"OK","LOW"))</f>
        <v/>
      </c>
    </row>
    <row r="96" customFormat="false" ht="15.75" hidden="false" customHeight="true" outlineLevel="0" collapsed="false">
      <c r="B96" s="81" t="str">
        <f aca="false">IF(C96&lt;&gt;"",ROW()-11,"")</f>
        <v/>
      </c>
      <c r="C96" s="82"/>
      <c r="D96" s="82"/>
      <c r="E96" s="82"/>
      <c r="F96" s="82"/>
      <c r="G96" s="82"/>
      <c r="H96" s="83"/>
      <c r="I96" s="83"/>
      <c r="J96" s="82"/>
      <c r="K96" s="84"/>
      <c r="L96" s="84"/>
      <c r="M96" s="81" t="str">
        <f aca="false">IF(AND(L96&lt;&gt;"",Z96="Open"),L96-Settings!$C$13,"")</f>
        <v/>
      </c>
      <c r="N96" s="81" t="str">
        <f aca="false">IF(Z96&lt;&gt;"Open","",IF(L96="","",IF(L96&lt;Settings!$C$13,"OVERDUE",IF(L96&lt;=Settings!$C$13+Settings!C9,"AT RISK","OK"))))</f>
        <v/>
      </c>
      <c r="O96" s="83"/>
      <c r="P96" s="81"/>
      <c r="Q96" s="85"/>
      <c r="R96" s="85"/>
      <c r="S96" s="85"/>
      <c r="T96" s="85" t="str">
        <f aca="false">IF(AND(Q96&gt;0,R96&gt;0),Q96-R96,"")</f>
        <v/>
      </c>
      <c r="U96" s="86" t="str">
        <f aca="false">IFERROR(IF(AND(Q96&gt;0,R96&gt;0),(Q96-R96)/Q96,""),"")</f>
        <v/>
      </c>
      <c r="V96" s="82"/>
      <c r="W96" s="84"/>
      <c r="X96" s="81" t="str">
        <f aca="false">IF(AND(K96&lt;&gt;"",W96&lt;&gt;""),W96-K96,"")</f>
        <v/>
      </c>
      <c r="Y96" s="81" t="str">
        <f aca="false">IF(AND(X96&lt;&gt;"",X96&gt;0),IF(X96&lt;=Settings!C8,"Yes","No"),"")</f>
        <v/>
      </c>
      <c r="Z96" s="83"/>
      <c r="AA96" s="87"/>
      <c r="AB96" s="88" t="str">
        <f aca="false">IF(Z96&lt;&gt;"Closed","",IF(P96&gt;=Settings!$C$10,"OK","LOW"))</f>
        <v/>
      </c>
    </row>
    <row r="97" customFormat="false" ht="15.75" hidden="false" customHeight="true" outlineLevel="0" collapsed="false">
      <c r="B97" s="89" t="str">
        <f aca="false">IF(C97&lt;&gt;"",ROW()-11,"")</f>
        <v/>
      </c>
      <c r="C97" s="90"/>
      <c r="D97" s="90"/>
      <c r="E97" s="90"/>
      <c r="F97" s="90"/>
      <c r="G97" s="90"/>
      <c r="H97" s="91"/>
      <c r="I97" s="91"/>
      <c r="J97" s="90"/>
      <c r="K97" s="92"/>
      <c r="L97" s="92"/>
      <c r="M97" s="89" t="str">
        <f aca="false">IF(AND(L97&lt;&gt;"",Z97="Open"),L97-Settings!$C$13,"")</f>
        <v/>
      </c>
      <c r="N97" s="89" t="str">
        <f aca="false">IF(Z97&lt;&gt;"Open","",IF(L97="","",IF(L97&lt;Settings!$C$13,"OVERDUE",IF(L97&lt;=Settings!$C$13+Settings!C9,"AT RISK","OK"))))</f>
        <v/>
      </c>
      <c r="O97" s="91"/>
      <c r="P97" s="89"/>
      <c r="Q97" s="93"/>
      <c r="R97" s="93"/>
      <c r="S97" s="93"/>
      <c r="T97" s="93" t="str">
        <f aca="false">IF(AND(Q97&gt;0,R97&gt;0),Q97-R97,"")</f>
        <v/>
      </c>
      <c r="U97" s="94" t="str">
        <f aca="false">IFERROR(IF(AND(Q97&gt;0,R97&gt;0),(Q97-R97)/Q97,""),"")</f>
        <v/>
      </c>
      <c r="V97" s="90"/>
      <c r="W97" s="92"/>
      <c r="X97" s="89" t="str">
        <f aca="false">IF(AND(K97&lt;&gt;"",W97&lt;&gt;""),W97-K97,"")</f>
        <v/>
      </c>
      <c r="Y97" s="89" t="str">
        <f aca="false">IF(AND(X97&lt;&gt;"",X97&gt;0),IF(X97&lt;=Settings!C8,"Yes","No"),"")</f>
        <v/>
      </c>
      <c r="Z97" s="91"/>
      <c r="AA97" s="95"/>
      <c r="AB97" s="88" t="str">
        <f aca="false">IF(Z97&lt;&gt;"Closed","",IF(P97&gt;=Settings!$C$10,"OK","LOW"))</f>
        <v/>
      </c>
    </row>
    <row r="98" customFormat="false" ht="15.75" hidden="false" customHeight="true" outlineLevel="0" collapsed="false">
      <c r="B98" s="81" t="str">
        <f aca="false">IF(C98&lt;&gt;"",ROW()-11,"")</f>
        <v/>
      </c>
      <c r="C98" s="82"/>
      <c r="D98" s="82"/>
      <c r="E98" s="82"/>
      <c r="F98" s="82"/>
      <c r="G98" s="82"/>
      <c r="H98" s="83"/>
      <c r="I98" s="83"/>
      <c r="J98" s="82"/>
      <c r="K98" s="84"/>
      <c r="L98" s="84"/>
      <c r="M98" s="81" t="str">
        <f aca="false">IF(AND(L98&lt;&gt;"",Z98="Open"),L98-Settings!$C$13,"")</f>
        <v/>
      </c>
      <c r="N98" s="81" t="str">
        <f aca="false">IF(Z98&lt;&gt;"Open","",IF(L98="","",IF(L98&lt;Settings!$C$13,"OVERDUE",IF(L98&lt;=Settings!$C$13+Settings!C9,"AT RISK","OK"))))</f>
        <v/>
      </c>
      <c r="O98" s="83"/>
      <c r="P98" s="81"/>
      <c r="Q98" s="85"/>
      <c r="R98" s="85"/>
      <c r="S98" s="85"/>
      <c r="T98" s="85" t="str">
        <f aca="false">IF(AND(Q98&gt;0,R98&gt;0),Q98-R98,"")</f>
        <v/>
      </c>
      <c r="U98" s="86" t="str">
        <f aca="false">IFERROR(IF(AND(Q98&gt;0,R98&gt;0),(Q98-R98)/Q98,""),"")</f>
        <v/>
      </c>
      <c r="V98" s="82"/>
      <c r="W98" s="84"/>
      <c r="X98" s="81" t="str">
        <f aca="false">IF(AND(K98&lt;&gt;"",W98&lt;&gt;""),W98-K98,"")</f>
        <v/>
      </c>
      <c r="Y98" s="81" t="str">
        <f aca="false">IF(AND(X98&lt;&gt;"",X98&gt;0),IF(X98&lt;=Settings!C8,"Yes","No"),"")</f>
        <v/>
      </c>
      <c r="Z98" s="83"/>
      <c r="AA98" s="87"/>
      <c r="AB98" s="88" t="str">
        <f aca="false">IF(Z98&lt;&gt;"Closed","",IF(P98&gt;=Settings!$C$10,"OK","LOW"))</f>
        <v/>
      </c>
    </row>
    <row r="99" customFormat="false" ht="15.75" hidden="false" customHeight="true" outlineLevel="0" collapsed="false">
      <c r="B99" s="89" t="str">
        <f aca="false">IF(C99&lt;&gt;"",ROW()-11,"")</f>
        <v/>
      </c>
      <c r="C99" s="90"/>
      <c r="D99" s="90"/>
      <c r="E99" s="90"/>
      <c r="F99" s="90"/>
      <c r="G99" s="90"/>
      <c r="H99" s="91"/>
      <c r="I99" s="91"/>
      <c r="J99" s="90"/>
      <c r="K99" s="92"/>
      <c r="L99" s="92"/>
      <c r="M99" s="89" t="str">
        <f aca="false">IF(AND(L99&lt;&gt;"",Z99="Open"),L99-Settings!$C$13,"")</f>
        <v/>
      </c>
      <c r="N99" s="89" t="str">
        <f aca="false">IF(Z99&lt;&gt;"Open","",IF(L99="","",IF(L99&lt;Settings!$C$13,"OVERDUE",IF(L99&lt;=Settings!$C$13+Settings!C9,"AT RISK","OK"))))</f>
        <v/>
      </c>
      <c r="O99" s="91"/>
      <c r="P99" s="89"/>
      <c r="Q99" s="93"/>
      <c r="R99" s="93"/>
      <c r="S99" s="93"/>
      <c r="T99" s="93" t="str">
        <f aca="false">IF(AND(Q99&gt;0,R99&gt;0),Q99-R99,"")</f>
        <v/>
      </c>
      <c r="U99" s="94" t="str">
        <f aca="false">IFERROR(IF(AND(Q99&gt;0,R99&gt;0),(Q99-R99)/Q99,""),"")</f>
        <v/>
      </c>
      <c r="V99" s="90"/>
      <c r="W99" s="92"/>
      <c r="X99" s="89" t="str">
        <f aca="false">IF(AND(K99&lt;&gt;"",W99&lt;&gt;""),W99-K99,"")</f>
        <v/>
      </c>
      <c r="Y99" s="89" t="str">
        <f aca="false">IF(AND(X99&lt;&gt;"",X99&gt;0),IF(X99&lt;=Settings!C8,"Yes","No"),"")</f>
        <v/>
      </c>
      <c r="Z99" s="91"/>
      <c r="AA99" s="95"/>
      <c r="AB99" s="88" t="str">
        <f aca="false">IF(Z99&lt;&gt;"Closed","",IF(P99&gt;=Settings!$C$10,"OK","LOW"))</f>
        <v/>
      </c>
    </row>
    <row r="100" customFormat="false" ht="15.75" hidden="false" customHeight="true" outlineLevel="0" collapsed="false">
      <c r="B100" s="81" t="str">
        <f aca="false">IF(C100&lt;&gt;"",ROW()-11,"")</f>
        <v/>
      </c>
      <c r="C100" s="82"/>
      <c r="D100" s="82"/>
      <c r="E100" s="82"/>
      <c r="F100" s="82"/>
      <c r="G100" s="82"/>
      <c r="H100" s="83"/>
      <c r="I100" s="83"/>
      <c r="J100" s="82"/>
      <c r="K100" s="84"/>
      <c r="L100" s="84"/>
      <c r="M100" s="81" t="str">
        <f aca="false">IF(AND(L100&lt;&gt;"",Z100="Open"),L100-Settings!$C$13,"")</f>
        <v/>
      </c>
      <c r="N100" s="81" t="str">
        <f aca="false">IF(Z100&lt;&gt;"Open","",IF(L100="","",IF(L100&lt;Settings!$C$13,"OVERDUE",IF(L100&lt;=Settings!$C$13+Settings!C9,"AT RISK","OK"))))</f>
        <v/>
      </c>
      <c r="O100" s="83"/>
      <c r="P100" s="81"/>
      <c r="Q100" s="85"/>
      <c r="R100" s="85"/>
      <c r="S100" s="85"/>
      <c r="T100" s="85" t="str">
        <f aca="false">IF(AND(Q100&gt;0,R100&gt;0),Q100-R100,"")</f>
        <v/>
      </c>
      <c r="U100" s="86" t="str">
        <f aca="false">IFERROR(IF(AND(Q100&gt;0,R100&gt;0),(Q100-R100)/Q100,""),"")</f>
        <v/>
      </c>
      <c r="V100" s="82"/>
      <c r="W100" s="84"/>
      <c r="X100" s="81" t="str">
        <f aca="false">IF(AND(K100&lt;&gt;"",W100&lt;&gt;""),W100-K100,"")</f>
        <v/>
      </c>
      <c r="Y100" s="81" t="str">
        <f aca="false">IF(AND(X100&lt;&gt;"",X100&gt;0),IF(X100&lt;=Settings!C8,"Yes","No"),"")</f>
        <v/>
      </c>
      <c r="Z100" s="83"/>
      <c r="AA100" s="87"/>
      <c r="AB100" s="88" t="str">
        <f aca="false">IF(Z100&lt;&gt;"Closed","",IF(P100&gt;=Settings!$C$10,"OK","LOW"))</f>
        <v/>
      </c>
    </row>
    <row r="101" customFormat="false" ht="15.75" hidden="false" customHeight="true" outlineLevel="0" collapsed="false">
      <c r="B101" s="89" t="str">
        <f aca="false">IF(C101&lt;&gt;"",ROW()-11,"")</f>
        <v/>
      </c>
      <c r="C101" s="90"/>
      <c r="D101" s="90"/>
      <c r="E101" s="90"/>
      <c r="F101" s="90"/>
      <c r="G101" s="90"/>
      <c r="H101" s="91"/>
      <c r="I101" s="91"/>
      <c r="J101" s="90"/>
      <c r="K101" s="92"/>
      <c r="L101" s="92"/>
      <c r="M101" s="89" t="str">
        <f aca="false">IF(AND(L101&lt;&gt;"",Z101="Open"),L101-Settings!$C$13,"")</f>
        <v/>
      </c>
      <c r="N101" s="89" t="str">
        <f aca="false">IF(Z101&lt;&gt;"Open","",IF(L101="","",IF(L101&lt;Settings!$C$13,"OVERDUE",IF(L101&lt;=Settings!$C$13+Settings!C9,"AT RISK","OK"))))</f>
        <v/>
      </c>
      <c r="O101" s="91"/>
      <c r="P101" s="89"/>
      <c r="Q101" s="93"/>
      <c r="R101" s="93"/>
      <c r="S101" s="93"/>
      <c r="T101" s="93" t="str">
        <f aca="false">IF(AND(Q101&gt;0,R101&gt;0),Q101-R101,"")</f>
        <v/>
      </c>
      <c r="U101" s="94" t="str">
        <f aca="false">IFERROR(IF(AND(Q101&gt;0,R101&gt;0),(Q101-R101)/Q101,""),"")</f>
        <v/>
      </c>
      <c r="V101" s="90"/>
      <c r="W101" s="92"/>
      <c r="X101" s="89" t="str">
        <f aca="false">IF(AND(K101&lt;&gt;"",W101&lt;&gt;""),W101-K101,"")</f>
        <v/>
      </c>
      <c r="Y101" s="89" t="str">
        <f aca="false">IF(AND(X101&lt;&gt;"",X101&gt;0),IF(X101&lt;=Settings!C8,"Yes","No"),"")</f>
        <v/>
      </c>
      <c r="Z101" s="91"/>
      <c r="AA101" s="95"/>
      <c r="AB101" s="88" t="str">
        <f aca="false">IF(Z101&lt;&gt;"Closed","",IF(P101&gt;=Settings!$C$10,"OK","LOW"))</f>
        <v/>
      </c>
    </row>
    <row r="102" customFormat="false" ht="15.75" hidden="false" customHeight="true" outlineLevel="0" collapsed="false">
      <c r="B102" s="81" t="str">
        <f aca="false">IF(C102&lt;&gt;"",ROW()-11,"")</f>
        <v/>
      </c>
      <c r="C102" s="82"/>
      <c r="D102" s="82"/>
      <c r="E102" s="82"/>
      <c r="F102" s="82"/>
      <c r="G102" s="82"/>
      <c r="H102" s="83"/>
      <c r="I102" s="83"/>
      <c r="J102" s="82"/>
      <c r="K102" s="84"/>
      <c r="L102" s="84"/>
      <c r="M102" s="81" t="str">
        <f aca="false">IF(AND(L102&lt;&gt;"",Z102="Open"),L102-Settings!$C$13,"")</f>
        <v/>
      </c>
      <c r="N102" s="81" t="str">
        <f aca="false">IF(Z102&lt;&gt;"Open","",IF(L102="","",IF(L102&lt;Settings!$C$13,"OVERDUE",IF(L102&lt;=Settings!$C$13+Settings!C9,"AT RISK","OK"))))</f>
        <v/>
      </c>
      <c r="O102" s="83"/>
      <c r="P102" s="81"/>
      <c r="Q102" s="85"/>
      <c r="R102" s="85"/>
      <c r="S102" s="85"/>
      <c r="T102" s="85" t="str">
        <f aca="false">IF(AND(Q102&gt;0,R102&gt;0),Q102-R102,"")</f>
        <v/>
      </c>
      <c r="U102" s="86" t="str">
        <f aca="false">IFERROR(IF(AND(Q102&gt;0,R102&gt;0),(Q102-R102)/Q102,""),"")</f>
        <v/>
      </c>
      <c r="V102" s="82"/>
      <c r="W102" s="84"/>
      <c r="X102" s="81" t="str">
        <f aca="false">IF(AND(K102&lt;&gt;"",W102&lt;&gt;""),W102-K102,"")</f>
        <v/>
      </c>
      <c r="Y102" s="81" t="str">
        <f aca="false">IF(AND(X102&lt;&gt;"",X102&gt;0),IF(X102&lt;=Settings!C8,"Yes","No"),"")</f>
        <v/>
      </c>
      <c r="Z102" s="83"/>
      <c r="AA102" s="87"/>
      <c r="AB102" s="88" t="str">
        <f aca="false">IF(Z102&lt;&gt;"Closed","",IF(P102&gt;=Settings!$C$10,"OK","LOW"))</f>
        <v/>
      </c>
    </row>
    <row r="103" customFormat="false" ht="15.75" hidden="false" customHeight="true" outlineLevel="0" collapsed="false">
      <c r="B103" s="89" t="str">
        <f aca="false">IF(C103&lt;&gt;"",ROW()-11,"")</f>
        <v/>
      </c>
      <c r="C103" s="90"/>
      <c r="D103" s="90"/>
      <c r="E103" s="90"/>
      <c r="F103" s="90"/>
      <c r="G103" s="90"/>
      <c r="H103" s="91"/>
      <c r="I103" s="91"/>
      <c r="J103" s="90"/>
      <c r="K103" s="92"/>
      <c r="L103" s="92"/>
      <c r="M103" s="89" t="str">
        <f aca="false">IF(AND(L103&lt;&gt;"",Z103="Open"),L103-Settings!$C$13,"")</f>
        <v/>
      </c>
      <c r="N103" s="89" t="str">
        <f aca="false">IF(Z103&lt;&gt;"Open","",IF(L103="","",IF(L103&lt;Settings!$C$13,"OVERDUE",IF(L103&lt;=Settings!$C$13+Settings!C9,"AT RISK","OK"))))</f>
        <v/>
      </c>
      <c r="O103" s="91"/>
      <c r="P103" s="89"/>
      <c r="Q103" s="93"/>
      <c r="R103" s="93"/>
      <c r="S103" s="93"/>
      <c r="T103" s="93" t="str">
        <f aca="false">IF(AND(Q103&gt;0,R103&gt;0),Q103-R103,"")</f>
        <v/>
      </c>
      <c r="U103" s="94" t="str">
        <f aca="false">IFERROR(IF(AND(Q103&gt;0,R103&gt;0),(Q103-R103)/Q103,""),"")</f>
        <v/>
      </c>
      <c r="V103" s="90"/>
      <c r="W103" s="92"/>
      <c r="X103" s="89" t="str">
        <f aca="false">IF(AND(K103&lt;&gt;"",W103&lt;&gt;""),W103-K103,"")</f>
        <v/>
      </c>
      <c r="Y103" s="89" t="str">
        <f aca="false">IF(AND(X103&lt;&gt;"",X103&gt;0),IF(X103&lt;=Settings!C8,"Yes","No"),"")</f>
        <v/>
      </c>
      <c r="Z103" s="91"/>
      <c r="AA103" s="95"/>
      <c r="AB103" s="88" t="str">
        <f aca="false">IF(Z103&lt;&gt;"Closed","",IF(P103&gt;=Settings!$C$10,"OK","LOW"))</f>
        <v/>
      </c>
    </row>
    <row r="104" customFormat="false" ht="15.75" hidden="false" customHeight="true" outlineLevel="0" collapsed="false">
      <c r="B104" s="81" t="str">
        <f aca="false">IF(C104&lt;&gt;"",ROW()-11,"")</f>
        <v/>
      </c>
      <c r="C104" s="82"/>
      <c r="D104" s="82"/>
      <c r="E104" s="82"/>
      <c r="F104" s="82"/>
      <c r="G104" s="82"/>
      <c r="H104" s="83"/>
      <c r="I104" s="83"/>
      <c r="J104" s="82"/>
      <c r="K104" s="84"/>
      <c r="L104" s="84"/>
      <c r="M104" s="81" t="str">
        <f aca="false">IF(AND(L104&lt;&gt;"",Z104="Open"),L104-Settings!$C$13,"")</f>
        <v/>
      </c>
      <c r="N104" s="81" t="str">
        <f aca="false">IF(Z104&lt;&gt;"Open","",IF(L104="","",IF(L104&lt;Settings!$C$13,"OVERDUE",IF(L104&lt;=Settings!$C$13+Settings!C9,"AT RISK","OK"))))</f>
        <v/>
      </c>
      <c r="O104" s="83"/>
      <c r="P104" s="81"/>
      <c r="Q104" s="85"/>
      <c r="R104" s="85"/>
      <c r="S104" s="85"/>
      <c r="T104" s="85" t="str">
        <f aca="false">IF(AND(Q104&gt;0,R104&gt;0),Q104-R104,"")</f>
        <v/>
      </c>
      <c r="U104" s="86" t="str">
        <f aca="false">IFERROR(IF(AND(Q104&gt;0,R104&gt;0),(Q104-R104)/Q104,""),"")</f>
        <v/>
      </c>
      <c r="V104" s="82"/>
      <c r="W104" s="84"/>
      <c r="X104" s="81" t="str">
        <f aca="false">IF(AND(K104&lt;&gt;"",W104&lt;&gt;""),W104-K104,"")</f>
        <v/>
      </c>
      <c r="Y104" s="81" t="str">
        <f aca="false">IF(AND(X104&lt;&gt;"",X104&gt;0),IF(X104&lt;=Settings!C8,"Yes","No"),"")</f>
        <v/>
      </c>
      <c r="Z104" s="83"/>
      <c r="AA104" s="87"/>
      <c r="AB104" s="88" t="str">
        <f aca="false">IF(Z104&lt;&gt;"Closed","",IF(P104&gt;=Settings!$C$10,"OK","LOW"))</f>
        <v/>
      </c>
    </row>
    <row r="105" customFormat="false" ht="15.75" hidden="false" customHeight="true" outlineLevel="0" collapsed="false">
      <c r="B105" s="89" t="str">
        <f aca="false">IF(C105&lt;&gt;"",ROW()-11,"")</f>
        <v/>
      </c>
      <c r="C105" s="90"/>
      <c r="D105" s="90"/>
      <c r="E105" s="90"/>
      <c r="F105" s="90"/>
      <c r="G105" s="90"/>
      <c r="H105" s="91"/>
      <c r="I105" s="91"/>
      <c r="J105" s="90"/>
      <c r="K105" s="92"/>
      <c r="L105" s="92"/>
      <c r="M105" s="89" t="str">
        <f aca="false">IF(AND(L105&lt;&gt;"",Z105="Open"),L105-Settings!$C$13,"")</f>
        <v/>
      </c>
      <c r="N105" s="89" t="str">
        <f aca="false">IF(Z105&lt;&gt;"Open","",IF(L105="","",IF(L105&lt;Settings!$C$13,"OVERDUE",IF(L105&lt;=Settings!$C$13+Settings!C9,"AT RISK","OK"))))</f>
        <v/>
      </c>
      <c r="O105" s="91"/>
      <c r="P105" s="89"/>
      <c r="Q105" s="93"/>
      <c r="R105" s="93"/>
      <c r="S105" s="93"/>
      <c r="T105" s="93" t="str">
        <f aca="false">IF(AND(Q105&gt;0,R105&gt;0),Q105-R105,"")</f>
        <v/>
      </c>
      <c r="U105" s="94" t="str">
        <f aca="false">IFERROR(IF(AND(Q105&gt;0,R105&gt;0),(Q105-R105)/Q105,""),"")</f>
        <v/>
      </c>
      <c r="V105" s="90"/>
      <c r="W105" s="92"/>
      <c r="X105" s="89" t="str">
        <f aca="false">IF(AND(K105&lt;&gt;"",W105&lt;&gt;""),W105-K105,"")</f>
        <v/>
      </c>
      <c r="Y105" s="89" t="str">
        <f aca="false">IF(AND(X105&lt;&gt;"",X105&gt;0),IF(X105&lt;=Settings!C8,"Yes","No"),"")</f>
        <v/>
      </c>
      <c r="Z105" s="91"/>
      <c r="AA105" s="95"/>
      <c r="AB105" s="88" t="str">
        <f aca="false">IF(Z105&lt;&gt;"Closed","",IF(P105&gt;=Settings!$C$10,"OK","LOW"))</f>
        <v/>
      </c>
    </row>
    <row r="106" customFormat="false" ht="15.75" hidden="false" customHeight="true" outlineLevel="0" collapsed="false">
      <c r="B106" s="81" t="str">
        <f aca="false">IF(C106&lt;&gt;"",ROW()-11,"")</f>
        <v/>
      </c>
      <c r="C106" s="82"/>
      <c r="D106" s="82"/>
      <c r="E106" s="82"/>
      <c r="F106" s="82"/>
      <c r="G106" s="82"/>
      <c r="H106" s="83"/>
      <c r="I106" s="83"/>
      <c r="J106" s="82"/>
      <c r="K106" s="84"/>
      <c r="L106" s="84"/>
      <c r="M106" s="81" t="str">
        <f aca="false">IF(AND(L106&lt;&gt;"",Z106="Open"),L106-Settings!$C$13,"")</f>
        <v/>
      </c>
      <c r="N106" s="81" t="str">
        <f aca="false">IF(Z106&lt;&gt;"Open","",IF(L106="","",IF(L106&lt;Settings!$C$13,"OVERDUE",IF(L106&lt;=Settings!$C$13+Settings!C9,"AT RISK","OK"))))</f>
        <v/>
      </c>
      <c r="O106" s="83"/>
      <c r="P106" s="81"/>
      <c r="Q106" s="85"/>
      <c r="R106" s="85"/>
      <c r="S106" s="85"/>
      <c r="T106" s="85" t="str">
        <f aca="false">IF(AND(Q106&gt;0,R106&gt;0),Q106-R106,"")</f>
        <v/>
      </c>
      <c r="U106" s="86" t="str">
        <f aca="false">IFERROR(IF(AND(Q106&gt;0,R106&gt;0),(Q106-R106)/Q106,""),"")</f>
        <v/>
      </c>
      <c r="V106" s="82"/>
      <c r="W106" s="84"/>
      <c r="X106" s="81" t="str">
        <f aca="false">IF(AND(K106&lt;&gt;"",W106&lt;&gt;""),W106-K106,"")</f>
        <v/>
      </c>
      <c r="Y106" s="81" t="str">
        <f aca="false">IF(AND(X106&lt;&gt;"",X106&gt;0),IF(X106&lt;=Settings!C8,"Yes","No"),"")</f>
        <v/>
      </c>
      <c r="Z106" s="83"/>
      <c r="AA106" s="87"/>
      <c r="AB106" s="88" t="str">
        <f aca="false">IF(Z106&lt;&gt;"Closed","",IF(P106&gt;=Settings!$C$10,"OK","LOW"))</f>
        <v/>
      </c>
    </row>
    <row r="107" customFormat="false" ht="15.75" hidden="false" customHeight="true" outlineLevel="0" collapsed="false">
      <c r="B107" s="89" t="str">
        <f aca="false">IF(C107&lt;&gt;"",ROW()-11,"")</f>
        <v/>
      </c>
      <c r="C107" s="90"/>
      <c r="D107" s="90"/>
      <c r="E107" s="90"/>
      <c r="F107" s="90"/>
      <c r="G107" s="90"/>
      <c r="H107" s="91"/>
      <c r="I107" s="91"/>
      <c r="J107" s="90"/>
      <c r="K107" s="92"/>
      <c r="L107" s="92"/>
      <c r="M107" s="89" t="str">
        <f aca="false">IF(AND(L107&lt;&gt;"",Z107="Open"),L107-Settings!$C$13,"")</f>
        <v/>
      </c>
      <c r="N107" s="89" t="str">
        <f aca="false">IF(Z107&lt;&gt;"Open","",IF(L107="","",IF(L107&lt;Settings!$C$13,"OVERDUE",IF(L107&lt;=Settings!$C$13+Settings!C9,"AT RISK","OK"))))</f>
        <v/>
      </c>
      <c r="O107" s="91"/>
      <c r="P107" s="89"/>
      <c r="Q107" s="93"/>
      <c r="R107" s="93"/>
      <c r="S107" s="93"/>
      <c r="T107" s="93" t="str">
        <f aca="false">IF(AND(Q107&gt;0,R107&gt;0),Q107-R107,"")</f>
        <v/>
      </c>
      <c r="U107" s="94" t="str">
        <f aca="false">IFERROR(IF(AND(Q107&gt;0,R107&gt;0),(Q107-R107)/Q107,""),"")</f>
        <v/>
      </c>
      <c r="V107" s="90"/>
      <c r="W107" s="92"/>
      <c r="X107" s="89" t="str">
        <f aca="false">IF(AND(K107&lt;&gt;"",W107&lt;&gt;""),W107-K107,"")</f>
        <v/>
      </c>
      <c r="Y107" s="89" t="str">
        <f aca="false">IF(AND(X107&lt;&gt;"",X107&gt;0),IF(X107&lt;=Settings!C8,"Yes","No"),"")</f>
        <v/>
      </c>
      <c r="Z107" s="91"/>
      <c r="AA107" s="95"/>
      <c r="AB107" s="88" t="str">
        <f aca="false">IF(Z107&lt;&gt;"Closed","",IF(P107&gt;=Settings!$C$10,"OK","LOW"))</f>
        <v/>
      </c>
    </row>
    <row r="108" customFormat="false" ht="15.75" hidden="false" customHeight="true" outlineLevel="0" collapsed="false">
      <c r="B108" s="81" t="str">
        <f aca="false">IF(C108&lt;&gt;"",ROW()-11,"")</f>
        <v/>
      </c>
      <c r="C108" s="82"/>
      <c r="D108" s="82"/>
      <c r="E108" s="82"/>
      <c r="F108" s="82"/>
      <c r="G108" s="82"/>
      <c r="H108" s="83"/>
      <c r="I108" s="83"/>
      <c r="J108" s="82"/>
      <c r="K108" s="84"/>
      <c r="L108" s="84"/>
      <c r="M108" s="81" t="str">
        <f aca="false">IF(AND(L108&lt;&gt;"",Z108="Open"),L108-Settings!$C$13,"")</f>
        <v/>
      </c>
      <c r="N108" s="81" t="str">
        <f aca="false">IF(Z108&lt;&gt;"Open","",IF(L108="","",IF(L108&lt;Settings!$C$13,"OVERDUE",IF(L108&lt;=Settings!$C$13+Settings!C9,"AT RISK","OK"))))</f>
        <v/>
      </c>
      <c r="O108" s="83"/>
      <c r="P108" s="81"/>
      <c r="Q108" s="85"/>
      <c r="R108" s="85"/>
      <c r="S108" s="85"/>
      <c r="T108" s="85" t="str">
        <f aca="false">IF(AND(Q108&gt;0,R108&gt;0),Q108-R108,"")</f>
        <v/>
      </c>
      <c r="U108" s="86" t="str">
        <f aca="false">IFERROR(IF(AND(Q108&gt;0,R108&gt;0),(Q108-R108)/Q108,""),"")</f>
        <v/>
      </c>
      <c r="V108" s="82"/>
      <c r="W108" s="84"/>
      <c r="X108" s="81" t="str">
        <f aca="false">IF(AND(K108&lt;&gt;"",W108&lt;&gt;""),W108-K108,"")</f>
        <v/>
      </c>
      <c r="Y108" s="81" t="str">
        <f aca="false">IF(AND(X108&lt;&gt;"",X108&gt;0),IF(X108&lt;=Settings!C8,"Yes","No"),"")</f>
        <v/>
      </c>
      <c r="Z108" s="83"/>
      <c r="AA108" s="87"/>
      <c r="AB108" s="88" t="str">
        <f aca="false">IF(Z108&lt;&gt;"Closed","",IF(P108&gt;=Settings!$C$10,"OK","LOW"))</f>
        <v/>
      </c>
    </row>
    <row r="109" customFormat="false" ht="15.75" hidden="false" customHeight="true" outlineLevel="0" collapsed="false">
      <c r="B109" s="89" t="str">
        <f aca="false">IF(C109&lt;&gt;"",ROW()-11,"")</f>
        <v/>
      </c>
      <c r="C109" s="90"/>
      <c r="D109" s="90"/>
      <c r="E109" s="90"/>
      <c r="F109" s="90"/>
      <c r="G109" s="90"/>
      <c r="H109" s="91"/>
      <c r="I109" s="91"/>
      <c r="J109" s="90"/>
      <c r="K109" s="92"/>
      <c r="L109" s="92"/>
      <c r="M109" s="89" t="str">
        <f aca="false">IF(AND(L109&lt;&gt;"",Z109="Open"),L109-Settings!$C$13,"")</f>
        <v/>
      </c>
      <c r="N109" s="89" t="str">
        <f aca="false">IF(Z109&lt;&gt;"Open","",IF(L109="","",IF(L109&lt;Settings!$C$13,"OVERDUE",IF(L109&lt;=Settings!$C$13+Settings!C9,"AT RISK","OK"))))</f>
        <v/>
      </c>
      <c r="O109" s="91"/>
      <c r="P109" s="89"/>
      <c r="Q109" s="93"/>
      <c r="R109" s="93"/>
      <c r="S109" s="93"/>
      <c r="T109" s="93" t="str">
        <f aca="false">IF(AND(Q109&gt;0,R109&gt;0),Q109-R109,"")</f>
        <v/>
      </c>
      <c r="U109" s="94" t="str">
        <f aca="false">IFERROR(IF(AND(Q109&gt;0,R109&gt;0),(Q109-R109)/Q109,""),"")</f>
        <v/>
      </c>
      <c r="V109" s="90"/>
      <c r="W109" s="92"/>
      <c r="X109" s="89" t="str">
        <f aca="false">IF(AND(K109&lt;&gt;"",W109&lt;&gt;""),W109-K109,"")</f>
        <v/>
      </c>
      <c r="Y109" s="89" t="str">
        <f aca="false">IF(AND(X109&lt;&gt;"",X109&gt;0),IF(X109&lt;=Settings!C8,"Yes","No"),"")</f>
        <v/>
      </c>
      <c r="Z109" s="91"/>
      <c r="AA109" s="95"/>
      <c r="AB109" s="88" t="str">
        <f aca="false">IF(Z109&lt;&gt;"Closed","",IF(P109&gt;=Settings!$C$10,"OK","LOW"))</f>
        <v/>
      </c>
    </row>
    <row r="110" customFormat="false" ht="15.75" hidden="false" customHeight="true" outlineLevel="0" collapsed="false">
      <c r="B110" s="81" t="str">
        <f aca="false">IF(C110&lt;&gt;"",ROW()-11,"")</f>
        <v/>
      </c>
      <c r="C110" s="82"/>
      <c r="D110" s="82"/>
      <c r="E110" s="82"/>
      <c r="F110" s="82"/>
      <c r="G110" s="82"/>
      <c r="H110" s="83"/>
      <c r="I110" s="83"/>
      <c r="J110" s="82"/>
      <c r="K110" s="84"/>
      <c r="L110" s="84"/>
      <c r="M110" s="81" t="str">
        <f aca="false">IF(AND(L1090&lt;&gt;"",Z110="Open"),L1090-Settings!$C$13,"")</f>
        <v/>
      </c>
      <c r="N110" s="81" t="str">
        <f aca="false">IF(Z110&lt;&gt;"Open","",IF(L110="","",IF(L110&lt;Settings!$C$13,"OVERDUE",IF(L110&lt;=Settings!$C$13+Settings!C9,"AT RISK","OK"))))</f>
        <v/>
      </c>
      <c r="O110" s="83"/>
      <c r="P110" s="81"/>
      <c r="Q110" s="85"/>
      <c r="R110" s="85"/>
      <c r="S110" s="85"/>
      <c r="T110" s="85" t="str">
        <f aca="false">IF(AND(Q110&gt;0,R110&gt;0),Q110-R110,"")</f>
        <v/>
      </c>
      <c r="U110" s="86" t="str">
        <f aca="false">IFERROR(IF(AND(Q110&gt;0,R110&gt;0),(Q110-R110)/Q110,""),"")</f>
        <v/>
      </c>
      <c r="V110" s="82"/>
      <c r="W110" s="84"/>
      <c r="X110" s="81" t="str">
        <f aca="false">IF(AND(K110&lt;&gt;"",W110&lt;&gt;""),W110-K110,"")</f>
        <v/>
      </c>
      <c r="Y110" s="81" t="str">
        <f aca="false">IF(AND(X110&lt;&gt;"",X110&gt;0),IF(X110&lt;=Settings!C8,"Yes","No"),"")</f>
        <v/>
      </c>
      <c r="Z110" s="83"/>
      <c r="AA110" s="87"/>
      <c r="AB110" s="88" t="str">
        <f aca="false">IF(Z110&lt;&gt;"Closed","",IF(P110&gt;=Settings!$C$10,"OK","LOW"))</f>
        <v/>
      </c>
    </row>
    <row r="111" customFormat="false" ht="15.75" hidden="false" customHeight="true" outlineLevel="0" collapsed="false">
      <c r="B111" s="89" t="str">
        <f aca="false">IF(C111&lt;&gt;"",ROW()-11,"")</f>
        <v/>
      </c>
      <c r="C111" s="90"/>
      <c r="D111" s="90"/>
      <c r="E111" s="90"/>
      <c r="F111" s="90"/>
      <c r="G111" s="90"/>
      <c r="H111" s="91"/>
      <c r="I111" s="91"/>
      <c r="J111" s="90"/>
      <c r="K111" s="92"/>
      <c r="L111" s="92"/>
      <c r="M111" s="89" t="str">
        <f aca="false">IF(AND(L1101&lt;&gt;"",Z111="Open"),L1101-Settings!$C$13,"")</f>
        <v/>
      </c>
      <c r="N111" s="89" t="str">
        <f aca="false">IF(Z111&lt;&gt;"Open","",IF(L111="","",IF(L111&lt;Settings!$C$13,"OVERDUE",IF(L111&lt;=Settings!$C$13+Settings!C9,"AT RISK","OK"))))</f>
        <v/>
      </c>
      <c r="O111" s="91"/>
      <c r="P111" s="89"/>
      <c r="Q111" s="93"/>
      <c r="R111" s="93"/>
      <c r="S111" s="93"/>
      <c r="T111" s="93" t="str">
        <f aca="false">IF(AND(Q111&gt;0,R111&gt;0),Q111-R111,"")</f>
        <v/>
      </c>
      <c r="U111" s="94" t="str">
        <f aca="false">IFERROR(IF(AND(Q111&gt;0,R111&gt;0),(Q111-R111)/Q111,""),"")</f>
        <v/>
      </c>
      <c r="V111" s="90"/>
      <c r="W111" s="92"/>
      <c r="X111" s="89" t="str">
        <f aca="false">IF(AND(K111&lt;&gt;"",W111&lt;&gt;""),W111-K111,"")</f>
        <v/>
      </c>
      <c r="Y111" s="89" t="str">
        <f aca="false">IF(AND(X111&lt;&gt;"",X111&gt;0),IF(X111&lt;=Settings!C8,"Yes","No"),"")</f>
        <v/>
      </c>
      <c r="Z111" s="91"/>
      <c r="AA111" s="95"/>
      <c r="AB111" s="88" t="str">
        <f aca="false">IF(Z111&lt;&gt;"Closed","",IF(P111&gt;=Settings!$C$10,"OK","LOW"))</f>
        <v/>
      </c>
    </row>
    <row r="112" customFormat="false" ht="15.75" hidden="false" customHeight="true" outlineLevel="0" collapsed="false">
      <c r="B112" s="81" t="str">
        <f aca="false">IF(C112&lt;&gt;"",ROW()-11,"")</f>
        <v/>
      </c>
      <c r="C112" s="82"/>
      <c r="D112" s="82"/>
      <c r="E112" s="82"/>
      <c r="F112" s="82"/>
      <c r="G112" s="82"/>
      <c r="H112" s="83"/>
      <c r="I112" s="83"/>
      <c r="J112" s="82"/>
      <c r="K112" s="84"/>
      <c r="L112" s="84"/>
      <c r="M112" s="81" t="str">
        <f aca="false">IF(AND(L1112&lt;&gt;"",Z112="Open"),L1112-Settings!$C$13,"")</f>
        <v/>
      </c>
      <c r="N112" s="81" t="str">
        <f aca="false">IF(Z112&lt;&gt;"Open","",IF(L112="","",IF(L112&lt;Settings!$C$13,"OVERDUE",IF(L112&lt;=Settings!$C$13+Settings!C9,"AT RISK","OK"))))</f>
        <v/>
      </c>
      <c r="O112" s="83"/>
      <c r="P112" s="81"/>
      <c r="Q112" s="85"/>
      <c r="R112" s="85"/>
      <c r="S112" s="85"/>
      <c r="T112" s="85" t="str">
        <f aca="false">IF(AND(Q112&gt;0,R112&gt;0),Q112-R112,"")</f>
        <v/>
      </c>
      <c r="U112" s="86" t="str">
        <f aca="false">IFERROR(IF(AND(Q112&gt;0,R112&gt;0),(Q112-R112)/Q112,""),"")</f>
        <v/>
      </c>
      <c r="V112" s="82"/>
      <c r="W112" s="84"/>
      <c r="X112" s="81" t="str">
        <f aca="false">IF(AND(K112&lt;&gt;"",W112&lt;&gt;""),W112-K112,"")</f>
        <v/>
      </c>
      <c r="Y112" s="81" t="str">
        <f aca="false">IF(AND(X112&lt;&gt;"",X112&gt;0),IF(X112&lt;=Settings!C8,"Yes","No"),"")</f>
        <v/>
      </c>
      <c r="Z112" s="83"/>
      <c r="AA112" s="87"/>
      <c r="AB112" s="88" t="str">
        <f aca="false">IF(Z112&lt;&gt;"Closed","",IF(P112&gt;=Settings!$C$10,"OK","LOW"))</f>
        <v/>
      </c>
    </row>
    <row r="113" customFormat="false" ht="15.75" hidden="false" customHeight="true" outlineLevel="0" collapsed="false">
      <c r="B113" s="89" t="str">
        <f aca="false">IF(C113&lt;&gt;"",ROW()-11,"")</f>
        <v/>
      </c>
      <c r="C113" s="90"/>
      <c r="D113" s="90"/>
      <c r="E113" s="90"/>
      <c r="F113" s="90"/>
      <c r="G113" s="90"/>
      <c r="H113" s="91"/>
      <c r="I113" s="91"/>
      <c r="J113" s="90"/>
      <c r="K113" s="92"/>
      <c r="L113" s="92"/>
      <c r="M113" s="89" t="str">
        <f aca="false">IF(AND(L1123&lt;&gt;"",Z113="Open"),L1123-Settings!$C$13,"")</f>
        <v/>
      </c>
      <c r="N113" s="89" t="str">
        <f aca="false">IF(Z113&lt;&gt;"Open","",IF(L113="","",IF(L113&lt;Settings!$C$13,"OVERDUE",IF(L113&lt;=Settings!$C$13+Settings!C9,"AT RISK","OK"))))</f>
        <v/>
      </c>
      <c r="O113" s="91"/>
      <c r="P113" s="89"/>
      <c r="Q113" s="93"/>
      <c r="R113" s="93"/>
      <c r="S113" s="93"/>
      <c r="T113" s="93" t="str">
        <f aca="false">IF(AND(Q113&gt;0,R113&gt;0),Q113-R113,"")</f>
        <v/>
      </c>
      <c r="U113" s="94" t="str">
        <f aca="false">IFERROR(IF(AND(Q113&gt;0,R113&gt;0),(Q113-R113)/Q113,""),"")</f>
        <v/>
      </c>
      <c r="V113" s="90"/>
      <c r="W113" s="92"/>
      <c r="X113" s="89" t="str">
        <f aca="false">IF(AND(K113&lt;&gt;"",W113&lt;&gt;""),W113-K113,"")</f>
        <v/>
      </c>
      <c r="Y113" s="89" t="str">
        <f aca="false">IF(AND(X113&lt;&gt;"",X113&gt;0),IF(X113&lt;=Settings!C8,"Yes","No"),"")</f>
        <v/>
      </c>
      <c r="Z113" s="91"/>
      <c r="AA113" s="95"/>
      <c r="AB113" s="88" t="str">
        <f aca="false">IF(Z113&lt;&gt;"Closed","",IF(P113&gt;=Settings!$C$10,"OK","LOW"))</f>
        <v/>
      </c>
    </row>
    <row r="114" customFormat="false" ht="15.75" hidden="false" customHeight="true" outlineLevel="0" collapsed="false">
      <c r="B114" s="81" t="str">
        <f aca="false">IF(C114&lt;&gt;"",ROW()-11,"")</f>
        <v/>
      </c>
      <c r="C114" s="82"/>
      <c r="D114" s="82"/>
      <c r="E114" s="82"/>
      <c r="F114" s="82"/>
      <c r="G114" s="82"/>
      <c r="H114" s="83"/>
      <c r="I114" s="83"/>
      <c r="J114" s="82"/>
      <c r="K114" s="84"/>
      <c r="L114" s="84"/>
      <c r="M114" s="81" t="str">
        <f aca="false">IF(AND(L1134&lt;&gt;"",Z114="Open"),L1134-Settings!$C$13,"")</f>
        <v/>
      </c>
      <c r="N114" s="81" t="str">
        <f aca="false">IF(Z114&lt;&gt;"Open","",IF(L114="","",IF(L114&lt;Settings!$C$13,"OVERDUE",IF(L114&lt;=Settings!$C$13+Settings!C9,"AT RISK","OK"))))</f>
        <v/>
      </c>
      <c r="O114" s="83"/>
      <c r="P114" s="81"/>
      <c r="Q114" s="85"/>
      <c r="R114" s="85"/>
      <c r="S114" s="85"/>
      <c r="T114" s="85" t="str">
        <f aca="false">IF(AND(Q114&gt;0,R114&gt;0),Q114-R114,"")</f>
        <v/>
      </c>
      <c r="U114" s="86" t="str">
        <f aca="false">IFERROR(IF(AND(Q114&gt;0,R114&gt;0),(Q114-R114)/Q114,""),"")</f>
        <v/>
      </c>
      <c r="V114" s="82"/>
      <c r="W114" s="84"/>
      <c r="X114" s="81" t="str">
        <f aca="false">IF(AND(K114&lt;&gt;"",W114&lt;&gt;""),W114-K114,"")</f>
        <v/>
      </c>
      <c r="Y114" s="81" t="str">
        <f aca="false">IF(AND(X114&lt;&gt;"",X114&gt;0),IF(X114&lt;=Settings!C8,"Yes","No"),"")</f>
        <v/>
      </c>
      <c r="Z114" s="83"/>
      <c r="AA114" s="87"/>
      <c r="AB114" s="88" t="str">
        <f aca="false">IF(Z114&lt;&gt;"Closed","",IF(P114&gt;=Settings!$C$10,"OK","LOW"))</f>
        <v/>
      </c>
    </row>
    <row r="115" customFormat="false" ht="15.75" hidden="false" customHeight="true" outlineLevel="0" collapsed="false">
      <c r="B115" s="89" t="str">
        <f aca="false">IF(C115&lt;&gt;"",ROW()-11,"")</f>
        <v/>
      </c>
      <c r="C115" s="90"/>
      <c r="D115" s="90"/>
      <c r="E115" s="90"/>
      <c r="F115" s="90"/>
      <c r="G115" s="90"/>
      <c r="H115" s="91"/>
      <c r="I115" s="91"/>
      <c r="J115" s="90"/>
      <c r="K115" s="92"/>
      <c r="L115" s="92"/>
      <c r="M115" s="89" t="str">
        <f aca="false">IF(AND(L1145&lt;&gt;"",Z115="Open"),L1145-Settings!$C$13,"")</f>
        <v/>
      </c>
      <c r="N115" s="89" t="str">
        <f aca="false">IF(Z115&lt;&gt;"Open","",IF(L115="","",IF(L115&lt;Settings!$C$13,"OVERDUE",IF(L115&lt;=Settings!$C$13+Settings!C9,"AT RISK","OK"))))</f>
        <v/>
      </c>
      <c r="O115" s="91"/>
      <c r="P115" s="89"/>
      <c r="Q115" s="93"/>
      <c r="R115" s="93"/>
      <c r="S115" s="93"/>
      <c r="T115" s="93" t="str">
        <f aca="false">IF(AND(Q115&gt;0,R115&gt;0),Q115-R115,"")</f>
        <v/>
      </c>
      <c r="U115" s="94" t="str">
        <f aca="false">IFERROR(IF(AND(Q115&gt;0,R115&gt;0),(Q115-R115)/Q115,""),"")</f>
        <v/>
      </c>
      <c r="V115" s="90"/>
      <c r="W115" s="92"/>
      <c r="X115" s="89" t="str">
        <f aca="false">IF(AND(K115&lt;&gt;"",W115&lt;&gt;""),W115-K115,"")</f>
        <v/>
      </c>
      <c r="Y115" s="89" t="str">
        <f aca="false">IF(AND(X115&lt;&gt;"",X115&gt;0),IF(X115&lt;=Settings!C8,"Yes","No"),"")</f>
        <v/>
      </c>
      <c r="Z115" s="91"/>
      <c r="AA115" s="95"/>
      <c r="AB115" s="88" t="str">
        <f aca="false">IF(Z115&lt;&gt;"Closed","",IF(P115&gt;=Settings!$C$10,"OK","LOW"))</f>
        <v/>
      </c>
    </row>
    <row r="116" customFormat="false" ht="15.75" hidden="false" customHeight="true" outlineLevel="0" collapsed="false">
      <c r="B116" s="81" t="str">
        <f aca="false">IF(C116&lt;&gt;"",ROW()-11,"")</f>
        <v/>
      </c>
      <c r="C116" s="82"/>
      <c r="D116" s="82"/>
      <c r="E116" s="82"/>
      <c r="F116" s="82"/>
      <c r="G116" s="82"/>
      <c r="H116" s="83"/>
      <c r="I116" s="83"/>
      <c r="J116" s="82"/>
      <c r="K116" s="84"/>
      <c r="L116" s="84"/>
      <c r="M116" s="81" t="str">
        <f aca="false">IF(AND(L1156&lt;&gt;"",Z116="Open"),L1156-Settings!$C$13,"")</f>
        <v/>
      </c>
      <c r="N116" s="81" t="str">
        <f aca="false">IF(Z116&lt;&gt;"Open","",IF(L116="","",IF(L116&lt;Settings!$C$13,"OVERDUE",IF(L116&lt;=Settings!$C$13+Settings!C9,"AT RISK","OK"))))</f>
        <v/>
      </c>
      <c r="O116" s="83"/>
      <c r="P116" s="81"/>
      <c r="Q116" s="85"/>
      <c r="R116" s="85"/>
      <c r="S116" s="85"/>
      <c r="T116" s="85" t="str">
        <f aca="false">IF(AND(Q116&gt;0,R116&gt;0),Q116-R116,"")</f>
        <v/>
      </c>
      <c r="U116" s="86" t="str">
        <f aca="false">IFERROR(IF(AND(Q116&gt;0,R116&gt;0),(Q116-R116)/Q116,""),"")</f>
        <v/>
      </c>
      <c r="V116" s="82"/>
      <c r="W116" s="84"/>
      <c r="X116" s="81" t="str">
        <f aca="false">IF(AND(K116&lt;&gt;"",W116&lt;&gt;""),W116-K116,"")</f>
        <v/>
      </c>
      <c r="Y116" s="81" t="str">
        <f aca="false">IF(AND(X116&lt;&gt;"",X116&gt;0),IF(X116&lt;=Settings!C8,"Yes","No"),"")</f>
        <v/>
      </c>
      <c r="Z116" s="83"/>
      <c r="AA116" s="87"/>
      <c r="AB116" s="88" t="str">
        <f aca="false">IF(Z116&lt;&gt;"Closed","",IF(P116&gt;=Settings!$C$10,"OK","LOW"))</f>
        <v/>
      </c>
    </row>
    <row r="117" customFormat="false" ht="15.75" hidden="false" customHeight="true" outlineLevel="0" collapsed="false">
      <c r="B117" s="89" t="str">
        <f aca="false">IF(C117&lt;&gt;"",ROW()-11,"")</f>
        <v/>
      </c>
      <c r="C117" s="90"/>
      <c r="D117" s="90"/>
      <c r="E117" s="90"/>
      <c r="F117" s="90"/>
      <c r="G117" s="90"/>
      <c r="H117" s="91"/>
      <c r="I117" s="91"/>
      <c r="J117" s="90"/>
      <c r="K117" s="92"/>
      <c r="L117" s="92"/>
      <c r="M117" s="89" t="str">
        <f aca="false">IF(AND(L1167&lt;&gt;"",Z117="Open"),L1167-Settings!$C$13,"")</f>
        <v/>
      </c>
      <c r="N117" s="89" t="str">
        <f aca="false">IF(Z117&lt;&gt;"Open","",IF(L117="","",IF(L117&lt;Settings!$C$13,"OVERDUE",IF(L117&lt;=Settings!$C$13+Settings!C9,"AT RISK","OK"))))</f>
        <v/>
      </c>
      <c r="O117" s="91"/>
      <c r="P117" s="89"/>
      <c r="Q117" s="93"/>
      <c r="R117" s="93"/>
      <c r="S117" s="93"/>
      <c r="T117" s="93" t="str">
        <f aca="false">IF(AND(Q117&gt;0,R117&gt;0),Q117-R117,"")</f>
        <v/>
      </c>
      <c r="U117" s="94" t="str">
        <f aca="false">IFERROR(IF(AND(Q117&gt;0,R117&gt;0),(Q117-R117)/Q117,""),"")</f>
        <v/>
      </c>
      <c r="V117" s="90"/>
      <c r="W117" s="92"/>
      <c r="X117" s="89" t="str">
        <f aca="false">IF(AND(K117&lt;&gt;"",W117&lt;&gt;""),W117-K117,"")</f>
        <v/>
      </c>
      <c r="Y117" s="89" t="str">
        <f aca="false">IF(AND(X117&lt;&gt;"",X117&gt;0),IF(X117&lt;=Settings!C8,"Yes","No"),"")</f>
        <v/>
      </c>
      <c r="Z117" s="91"/>
      <c r="AA117" s="95"/>
      <c r="AB117" s="88" t="str">
        <f aca="false">IF(Z117&lt;&gt;"Closed","",IF(P117&gt;=Settings!$C$10,"OK","LOW"))</f>
        <v/>
      </c>
    </row>
    <row r="118" customFormat="false" ht="15.75" hidden="false" customHeight="true" outlineLevel="0" collapsed="false">
      <c r="B118" s="81" t="str">
        <f aca="false">IF(C118&lt;&gt;"",ROW()-11,"")</f>
        <v/>
      </c>
      <c r="C118" s="82"/>
      <c r="D118" s="82"/>
      <c r="E118" s="82"/>
      <c r="F118" s="82"/>
      <c r="G118" s="82"/>
      <c r="H118" s="83"/>
      <c r="I118" s="83"/>
      <c r="J118" s="82"/>
      <c r="K118" s="84"/>
      <c r="L118" s="84"/>
      <c r="M118" s="81" t="str">
        <f aca="false">IF(AND(L1178&lt;&gt;"",Z118="Open"),L1178-Settings!$C$13,"")</f>
        <v/>
      </c>
      <c r="N118" s="81" t="str">
        <f aca="false">IF(Z118&lt;&gt;"Open","",IF(L118="","",IF(L118&lt;Settings!$C$13,"OVERDUE",IF(L118&lt;=Settings!$C$13+Settings!C9,"AT RISK","OK"))))</f>
        <v/>
      </c>
      <c r="O118" s="83"/>
      <c r="P118" s="81"/>
      <c r="Q118" s="85"/>
      <c r="R118" s="85"/>
      <c r="S118" s="85"/>
      <c r="T118" s="85" t="str">
        <f aca="false">IF(AND(Q118&gt;0,R118&gt;0),Q118-R118,"")</f>
        <v/>
      </c>
      <c r="U118" s="86" t="str">
        <f aca="false">IFERROR(IF(AND(Q118&gt;0,R118&gt;0),(Q118-R118)/Q118,""),"")</f>
        <v/>
      </c>
      <c r="V118" s="82"/>
      <c r="W118" s="84"/>
      <c r="X118" s="81" t="str">
        <f aca="false">IF(AND(K118&lt;&gt;"",W118&lt;&gt;""),W118-K118,"")</f>
        <v/>
      </c>
      <c r="Y118" s="81" t="str">
        <f aca="false">IF(AND(X118&lt;&gt;"",X118&gt;0),IF(X118&lt;=Settings!C8,"Yes","No"),"")</f>
        <v/>
      </c>
      <c r="Z118" s="83"/>
      <c r="AA118" s="87"/>
      <c r="AB118" s="88" t="str">
        <f aca="false">IF(Z118&lt;&gt;"Closed","",IF(P118&gt;=Settings!$C$10,"OK","LOW"))</f>
        <v/>
      </c>
    </row>
    <row r="119" customFormat="false" ht="15.75" hidden="false" customHeight="true" outlineLevel="0" collapsed="false">
      <c r="B119" s="89" t="str">
        <f aca="false">IF(C119&lt;&gt;"",ROW()-11,"")</f>
        <v/>
      </c>
      <c r="C119" s="90"/>
      <c r="D119" s="90"/>
      <c r="E119" s="90"/>
      <c r="F119" s="90"/>
      <c r="G119" s="90"/>
      <c r="H119" s="91"/>
      <c r="I119" s="91"/>
      <c r="J119" s="90"/>
      <c r="K119" s="92"/>
      <c r="L119" s="92"/>
      <c r="M119" s="89" t="str">
        <f aca="false">IF(AND(L1189&lt;&gt;"",Z119="Open"),L1189-Settings!$C$13,"")</f>
        <v/>
      </c>
      <c r="N119" s="89" t="str">
        <f aca="false">IF(Z119&lt;&gt;"Open","",IF(L119="","",IF(L119&lt;Settings!$C$13,"OVERDUE",IF(L119&lt;=Settings!$C$13+Settings!C9,"AT RISK","OK"))))</f>
        <v/>
      </c>
      <c r="O119" s="91"/>
      <c r="P119" s="89"/>
      <c r="Q119" s="93"/>
      <c r="R119" s="93"/>
      <c r="S119" s="93"/>
      <c r="T119" s="93" t="str">
        <f aca="false">IF(AND(Q119&gt;0,R119&gt;0),Q119-R119,"")</f>
        <v/>
      </c>
      <c r="U119" s="94" t="str">
        <f aca="false">IFERROR(IF(AND(Q119&gt;0,R119&gt;0),(Q119-R119)/Q119,""),"")</f>
        <v/>
      </c>
      <c r="V119" s="90"/>
      <c r="W119" s="92"/>
      <c r="X119" s="89" t="str">
        <f aca="false">IF(AND(K119&lt;&gt;"",W119&lt;&gt;""),W119-K119,"")</f>
        <v/>
      </c>
      <c r="Y119" s="89" t="str">
        <f aca="false">IF(AND(X119&lt;&gt;"",X119&gt;0),IF(X119&lt;=Settings!C8,"Yes","No"),"")</f>
        <v/>
      </c>
      <c r="Z119" s="91"/>
      <c r="AA119" s="95"/>
      <c r="AB119" s="88" t="str">
        <f aca="false">IF(Z119&lt;&gt;"Closed","",IF(P119&gt;=Settings!$C$10,"OK","LOW"))</f>
        <v/>
      </c>
    </row>
    <row r="120" customFormat="false" ht="15.75" hidden="false" customHeight="true" outlineLevel="0" collapsed="false">
      <c r="B120" s="81" t="str">
        <f aca="false">IF(C120&lt;&gt;"",ROW()-11,"")</f>
        <v/>
      </c>
      <c r="C120" s="82"/>
      <c r="D120" s="82"/>
      <c r="E120" s="82"/>
      <c r="F120" s="82"/>
      <c r="G120" s="82"/>
      <c r="H120" s="83"/>
      <c r="I120" s="83"/>
      <c r="J120" s="82"/>
      <c r="K120" s="84"/>
      <c r="L120" s="84"/>
      <c r="M120" s="81" t="str">
        <f aca="false">IF(AND(L120&lt;&gt;"",Z120="Open"),L120-Settings!$C$13,"")</f>
        <v/>
      </c>
      <c r="N120" s="81" t="str">
        <f aca="false">IF(Z120&lt;&gt;"Open","",IF(L120="","",IF(L120&lt;Settings!$C$13,"OVERDUE",IF(L120&lt;=Settings!$C$13+Settings!C9,"AT RISK","OK"))))</f>
        <v/>
      </c>
      <c r="O120" s="83"/>
      <c r="P120" s="81"/>
      <c r="Q120" s="85"/>
      <c r="R120" s="85"/>
      <c r="S120" s="85"/>
      <c r="T120" s="85" t="str">
        <f aca="false">IF(AND(Q120&gt;0,R120&gt;0),Q120-R120,"")</f>
        <v/>
      </c>
      <c r="U120" s="86" t="str">
        <f aca="false">IFERROR(IF(AND(Q120&gt;0,R120&gt;0),(Q120-R120)/Q120,""),"")</f>
        <v/>
      </c>
      <c r="V120" s="82"/>
      <c r="W120" s="84"/>
      <c r="X120" s="81" t="str">
        <f aca="false">IF(AND(K120&lt;&gt;"",W120&lt;&gt;""),W120-K120,"")</f>
        <v/>
      </c>
      <c r="Y120" s="81" t="str">
        <f aca="false">IF(AND(X120&lt;&gt;"",X120&gt;0),IF(X120&lt;=Settings!C8,"Yes","No"),"")</f>
        <v/>
      </c>
      <c r="Z120" s="83"/>
      <c r="AA120" s="87"/>
      <c r="AB120" s="88" t="str">
        <f aca="false">IF(Z120&lt;&gt;"Closed","",IF(P120&gt;=Settings!$C$10,"OK","LOW"))</f>
        <v/>
      </c>
    </row>
    <row r="121" customFormat="false" ht="15.75" hidden="false" customHeight="true" outlineLevel="0" collapsed="false">
      <c r="B121" s="89" t="str">
        <f aca="false">IF(C121&lt;&gt;"",ROW()-11,"")</f>
        <v/>
      </c>
      <c r="C121" s="90"/>
      <c r="D121" s="90"/>
      <c r="E121" s="90"/>
      <c r="F121" s="90"/>
      <c r="G121" s="90"/>
      <c r="H121" s="91"/>
      <c r="I121" s="91"/>
      <c r="J121" s="90"/>
      <c r="K121" s="92"/>
      <c r="L121" s="92"/>
      <c r="M121" s="89" t="str">
        <f aca="false">IF(AND(L121&lt;&gt;"",Z121="Open"),L121-Settings!$C$13,"")</f>
        <v/>
      </c>
      <c r="N121" s="89" t="str">
        <f aca="false">IF(Z121&lt;&gt;"Open","",IF(L121="","",IF(L121&lt;Settings!$C$13,"OVERDUE",IF(L121&lt;=Settings!$C$13+Settings!C9,"AT RISK","OK"))))</f>
        <v/>
      </c>
      <c r="O121" s="91"/>
      <c r="P121" s="89"/>
      <c r="Q121" s="93"/>
      <c r="R121" s="93"/>
      <c r="S121" s="93"/>
      <c r="T121" s="93" t="str">
        <f aca="false">IF(AND(Q121&gt;0,R121&gt;0),Q121-R121,"")</f>
        <v/>
      </c>
      <c r="U121" s="94" t="str">
        <f aca="false">IFERROR(IF(AND(Q121&gt;0,R121&gt;0),(Q121-R121)/Q121,""),"")</f>
        <v/>
      </c>
      <c r="V121" s="90"/>
      <c r="W121" s="92"/>
      <c r="X121" s="89" t="str">
        <f aca="false">IF(AND(K121&lt;&gt;"",W121&lt;&gt;""),W121-K121,"")</f>
        <v/>
      </c>
      <c r="Y121" s="89" t="str">
        <f aca="false">IF(AND(X121&lt;&gt;"",X121&gt;0),IF(X121&lt;=Settings!C8,"Yes","No"),"")</f>
        <v/>
      </c>
      <c r="Z121" s="91"/>
      <c r="AA121" s="95"/>
      <c r="AB121" s="88" t="str">
        <f aca="false">IF(Z121&lt;&gt;"Closed","",IF(P121&gt;=Settings!$C$10,"OK","LOW"))</f>
        <v/>
      </c>
    </row>
    <row r="122" customFormat="false" ht="15.75" hidden="false" customHeight="true" outlineLevel="0" collapsed="false">
      <c r="B122" s="81" t="str">
        <f aca="false">IF(C122&lt;&gt;"",ROW()-11,"")</f>
        <v/>
      </c>
      <c r="C122" s="82"/>
      <c r="D122" s="82"/>
      <c r="E122" s="82"/>
      <c r="F122" s="82"/>
      <c r="G122" s="82"/>
      <c r="H122" s="83"/>
      <c r="I122" s="83"/>
      <c r="J122" s="82"/>
      <c r="K122" s="84"/>
      <c r="L122" s="84"/>
      <c r="M122" s="81" t="str">
        <f aca="false">IF(AND(L122&lt;&gt;"",Z122="Open"),L122-Settings!$C$13,"")</f>
        <v/>
      </c>
      <c r="N122" s="81" t="str">
        <f aca="false">IF(Z122&lt;&gt;"Open","",IF(L122="","",IF(L122&lt;Settings!$C$13,"OVERDUE",IF(L122&lt;=Settings!$C$13+Settings!C9,"AT RISK","OK"))))</f>
        <v/>
      </c>
      <c r="O122" s="83"/>
      <c r="P122" s="81"/>
      <c r="Q122" s="85"/>
      <c r="R122" s="85"/>
      <c r="S122" s="85"/>
      <c r="T122" s="85" t="str">
        <f aca="false">IF(AND(Q122&gt;0,R122&gt;0),Q122-R122,"")</f>
        <v/>
      </c>
      <c r="U122" s="86" t="str">
        <f aca="false">IFERROR(IF(AND(Q122&gt;0,R122&gt;0),(Q122-R122)/Q122,""),"")</f>
        <v/>
      </c>
      <c r="V122" s="82"/>
      <c r="W122" s="84"/>
      <c r="X122" s="81" t="str">
        <f aca="false">IF(AND(K122&lt;&gt;"",W122&lt;&gt;""),W122-K122,"")</f>
        <v/>
      </c>
      <c r="Y122" s="81" t="str">
        <f aca="false">IF(AND(X122&lt;&gt;"",X122&gt;0),IF(X122&lt;=Settings!C8,"Yes","No"),"")</f>
        <v/>
      </c>
      <c r="Z122" s="83"/>
      <c r="AA122" s="87"/>
      <c r="AB122" s="88" t="str">
        <f aca="false">IF(Z122&lt;&gt;"Closed","",IF(P122&gt;=Settings!$C$10,"OK","LOW"))</f>
        <v/>
      </c>
    </row>
    <row r="123" customFormat="false" ht="15.75" hidden="false" customHeight="true" outlineLevel="0" collapsed="false">
      <c r="B123" s="89" t="str">
        <f aca="false">IF(C123&lt;&gt;"",ROW()-11,"")</f>
        <v/>
      </c>
      <c r="C123" s="90"/>
      <c r="D123" s="90"/>
      <c r="E123" s="90"/>
      <c r="F123" s="90"/>
      <c r="G123" s="90"/>
      <c r="H123" s="91"/>
      <c r="I123" s="91"/>
      <c r="J123" s="90"/>
      <c r="K123" s="92"/>
      <c r="L123" s="92"/>
      <c r="M123" s="89" t="str">
        <f aca="false">IF(AND(L123&lt;&gt;"",Z123="Open"),L123-Settings!$C$13,"")</f>
        <v/>
      </c>
      <c r="N123" s="89" t="str">
        <f aca="false">IF(Z123&lt;&gt;"Open","",IF(L123="","",IF(L123&lt;Settings!$C$13,"OVERDUE",IF(L123&lt;=Settings!$C$13+Settings!C9,"AT RISK","OK"))))</f>
        <v/>
      </c>
      <c r="O123" s="91"/>
      <c r="P123" s="89"/>
      <c r="Q123" s="93"/>
      <c r="R123" s="93"/>
      <c r="S123" s="93"/>
      <c r="T123" s="93" t="str">
        <f aca="false">IF(AND(Q123&gt;0,R123&gt;0),Q123-R123,"")</f>
        <v/>
      </c>
      <c r="U123" s="94" t="str">
        <f aca="false">IFERROR(IF(AND(Q123&gt;0,R123&gt;0),(Q123-R123)/Q123,""),"")</f>
        <v/>
      </c>
      <c r="V123" s="90"/>
      <c r="W123" s="92"/>
      <c r="X123" s="89" t="str">
        <f aca="false">IF(AND(K123&lt;&gt;"",W123&lt;&gt;""),W123-K123,"")</f>
        <v/>
      </c>
      <c r="Y123" s="89" t="str">
        <f aca="false">IF(AND(X123&lt;&gt;"",X123&gt;0),IF(X123&lt;=Settings!C8,"Yes","No"),"")</f>
        <v/>
      </c>
      <c r="Z123" s="91"/>
      <c r="AA123" s="95"/>
      <c r="AB123" s="88" t="str">
        <f aca="false">IF(Z123&lt;&gt;"Closed","",IF(P123&gt;=Settings!$C$10,"OK","LOW"))</f>
        <v/>
      </c>
    </row>
    <row r="124" customFormat="false" ht="15.75" hidden="false" customHeight="true" outlineLevel="0" collapsed="false">
      <c r="B124" s="81" t="str">
        <f aca="false">IF(C124&lt;&gt;"",ROW()-11,"")</f>
        <v/>
      </c>
      <c r="C124" s="82"/>
      <c r="D124" s="82"/>
      <c r="E124" s="82"/>
      <c r="F124" s="82"/>
      <c r="G124" s="82"/>
      <c r="H124" s="83"/>
      <c r="I124" s="83"/>
      <c r="J124" s="82"/>
      <c r="K124" s="84"/>
      <c r="L124" s="84"/>
      <c r="M124" s="81" t="str">
        <f aca="false">IF(AND(L124&lt;&gt;"",Z124="Open"),L124-Settings!$C$13,"")</f>
        <v/>
      </c>
      <c r="N124" s="81" t="str">
        <f aca="false">IF(Z124&lt;&gt;"Open","",IF(L124="","",IF(L124&lt;Settings!$C$13,"OVERDUE",IF(L124&lt;=Settings!$C$13+Settings!C9,"AT RISK","OK"))))</f>
        <v/>
      </c>
      <c r="O124" s="83"/>
      <c r="P124" s="81"/>
      <c r="Q124" s="85"/>
      <c r="R124" s="85"/>
      <c r="S124" s="85"/>
      <c r="T124" s="85" t="str">
        <f aca="false">IF(AND(Q124&gt;0,R124&gt;0),Q124-R124,"")</f>
        <v/>
      </c>
      <c r="U124" s="86" t="str">
        <f aca="false">IFERROR(IF(AND(Q124&gt;0,R124&gt;0),(Q124-R124)/Q124,""),"")</f>
        <v/>
      </c>
      <c r="V124" s="82"/>
      <c r="W124" s="84"/>
      <c r="X124" s="81" t="str">
        <f aca="false">IF(AND(K124&lt;&gt;"",W124&lt;&gt;""),W124-K124,"")</f>
        <v/>
      </c>
      <c r="Y124" s="81" t="str">
        <f aca="false">IF(AND(X124&lt;&gt;"",X124&gt;0),IF(X124&lt;=Settings!C8,"Yes","No"),"")</f>
        <v/>
      </c>
      <c r="Z124" s="83"/>
      <c r="AA124" s="87"/>
      <c r="AB124" s="88" t="str">
        <f aca="false">IF(Z124&lt;&gt;"Closed","",IF(P124&gt;=Settings!$C$10,"OK","LOW"))</f>
        <v/>
      </c>
    </row>
    <row r="125" customFormat="false" ht="15.75" hidden="false" customHeight="true" outlineLevel="0" collapsed="false">
      <c r="B125" s="89" t="str">
        <f aca="false">IF(C125&lt;&gt;"",ROW()-11,"")</f>
        <v/>
      </c>
      <c r="C125" s="90"/>
      <c r="D125" s="90"/>
      <c r="E125" s="90"/>
      <c r="F125" s="90"/>
      <c r="G125" s="90"/>
      <c r="H125" s="91"/>
      <c r="I125" s="91"/>
      <c r="J125" s="90"/>
      <c r="K125" s="92"/>
      <c r="L125" s="92"/>
      <c r="M125" s="89" t="str">
        <f aca="false">IF(AND(L125&lt;&gt;"",Z125="Open"),L125-Settings!$C$13,"")</f>
        <v/>
      </c>
      <c r="N125" s="89" t="str">
        <f aca="false">IF(Z125&lt;&gt;"Open","",IF(L125="","",IF(L125&lt;Settings!$C$13,"OVERDUE",IF(L125&lt;=Settings!$C$13+Settings!C9,"AT RISK","OK"))))</f>
        <v/>
      </c>
      <c r="O125" s="91"/>
      <c r="P125" s="89"/>
      <c r="Q125" s="93"/>
      <c r="R125" s="93"/>
      <c r="S125" s="93"/>
      <c r="T125" s="93" t="str">
        <f aca="false">IF(AND(Q125&gt;0,R125&gt;0),Q125-R125,"")</f>
        <v/>
      </c>
      <c r="U125" s="94" t="str">
        <f aca="false">IFERROR(IF(AND(Q125&gt;0,R125&gt;0),(Q125-R125)/Q125,""),"")</f>
        <v/>
      </c>
      <c r="V125" s="90"/>
      <c r="W125" s="92"/>
      <c r="X125" s="89" t="str">
        <f aca="false">IF(AND(K125&lt;&gt;"",W125&lt;&gt;""),W125-K125,"")</f>
        <v/>
      </c>
      <c r="Y125" s="89" t="str">
        <f aca="false">IF(AND(X125&lt;&gt;"",X125&gt;0),IF(X125&lt;=Settings!C8,"Yes","No"),"")</f>
        <v/>
      </c>
      <c r="Z125" s="91"/>
      <c r="AA125" s="95"/>
      <c r="AB125" s="88" t="str">
        <f aca="false">IF(Z125&lt;&gt;"Closed","",IF(P125&gt;=Settings!$C$10,"OK","LOW"))</f>
        <v/>
      </c>
    </row>
    <row r="126" customFormat="false" ht="15.75" hidden="false" customHeight="true" outlineLevel="0" collapsed="false">
      <c r="B126" s="81" t="str">
        <f aca="false">IF(C126&lt;&gt;"",ROW()-11,"")</f>
        <v/>
      </c>
      <c r="C126" s="82"/>
      <c r="D126" s="82"/>
      <c r="E126" s="82"/>
      <c r="F126" s="82"/>
      <c r="G126" s="82"/>
      <c r="H126" s="83"/>
      <c r="I126" s="83"/>
      <c r="J126" s="82"/>
      <c r="K126" s="84"/>
      <c r="L126" s="84"/>
      <c r="M126" s="81" t="str">
        <f aca="false">IF(AND(L126&lt;&gt;"",Z126="Open"),L126-Settings!$C$13,"")</f>
        <v/>
      </c>
      <c r="N126" s="81" t="str">
        <f aca="false">IF(Z126&lt;&gt;"Open","",IF(L126="","",IF(L126&lt;Settings!$C$13,"OVERDUE",IF(L126&lt;=Settings!$C$13+Settings!C9,"AT RISK","OK"))))</f>
        <v/>
      </c>
      <c r="O126" s="83"/>
      <c r="P126" s="81"/>
      <c r="Q126" s="85"/>
      <c r="R126" s="85"/>
      <c r="S126" s="85"/>
      <c r="T126" s="85" t="str">
        <f aca="false">IF(AND(Q126&gt;0,R126&gt;0),Q126-R126,"")</f>
        <v/>
      </c>
      <c r="U126" s="86" t="str">
        <f aca="false">IFERROR(IF(AND(Q126&gt;0,R126&gt;0),(Q126-R126)/Q126,""),"")</f>
        <v/>
      </c>
      <c r="V126" s="82"/>
      <c r="W126" s="84"/>
      <c r="X126" s="81" t="str">
        <f aca="false">IF(AND(K126&lt;&gt;"",W126&lt;&gt;""),W126-K126,"")</f>
        <v/>
      </c>
      <c r="Y126" s="81" t="str">
        <f aca="false">IF(AND(X126&lt;&gt;"",X126&gt;0),IF(X126&lt;=Settings!C8,"Yes","No"),"")</f>
        <v/>
      </c>
      <c r="Z126" s="83"/>
      <c r="AA126" s="87"/>
      <c r="AB126" s="88" t="str">
        <f aca="false">IF(Z126&lt;&gt;"Closed","",IF(P126&gt;=Settings!$C$10,"OK","LOW"))</f>
        <v/>
      </c>
    </row>
    <row r="127" customFormat="false" ht="15.75" hidden="false" customHeight="true" outlineLevel="0" collapsed="false">
      <c r="B127" s="89" t="str">
        <f aca="false">IF(C127&lt;&gt;"",ROW()-11,"")</f>
        <v/>
      </c>
      <c r="C127" s="90"/>
      <c r="D127" s="90"/>
      <c r="E127" s="90"/>
      <c r="F127" s="90"/>
      <c r="G127" s="90"/>
      <c r="H127" s="91"/>
      <c r="I127" s="91"/>
      <c r="J127" s="90"/>
      <c r="K127" s="92"/>
      <c r="L127" s="92"/>
      <c r="M127" s="89" t="str">
        <f aca="false">IF(AND(L127&lt;&gt;"",Z127="Open"),L127-Settings!$C$13,"")</f>
        <v/>
      </c>
      <c r="N127" s="89" t="str">
        <f aca="false">IF(Z127&lt;&gt;"Open","",IF(L127="","",IF(L127&lt;Settings!$C$13,"OVERDUE",IF(L127&lt;=Settings!$C$13+Settings!C9,"AT RISK","OK"))))</f>
        <v/>
      </c>
      <c r="O127" s="91"/>
      <c r="P127" s="89"/>
      <c r="Q127" s="93"/>
      <c r="R127" s="93"/>
      <c r="S127" s="93"/>
      <c r="T127" s="93" t="str">
        <f aca="false">IF(AND(Q127&gt;0,R127&gt;0),Q127-R127,"")</f>
        <v/>
      </c>
      <c r="U127" s="94" t="str">
        <f aca="false">IFERROR(IF(AND(Q127&gt;0,R127&gt;0),(Q127-R127)/Q127,""),"")</f>
        <v/>
      </c>
      <c r="V127" s="90"/>
      <c r="W127" s="92"/>
      <c r="X127" s="89" t="str">
        <f aca="false">IF(AND(K127&lt;&gt;"",W127&lt;&gt;""),W127-K127,"")</f>
        <v/>
      </c>
      <c r="Y127" s="89" t="str">
        <f aca="false">IF(AND(X127&lt;&gt;"",X127&gt;0),IF(X127&lt;=Settings!C8,"Yes","No"),"")</f>
        <v/>
      </c>
      <c r="Z127" s="91"/>
      <c r="AA127" s="95"/>
      <c r="AB127" s="88" t="str">
        <f aca="false">IF(Z127&lt;&gt;"Closed","",IF(P127&gt;=Settings!$C$10,"OK","LOW"))</f>
        <v/>
      </c>
    </row>
    <row r="128" customFormat="false" ht="15.75" hidden="false" customHeight="true" outlineLevel="0" collapsed="false">
      <c r="B128" s="81" t="str">
        <f aca="false">IF(C128&lt;&gt;"",ROW()-11,"")</f>
        <v/>
      </c>
      <c r="C128" s="82"/>
      <c r="D128" s="82"/>
      <c r="E128" s="82"/>
      <c r="F128" s="82"/>
      <c r="G128" s="82"/>
      <c r="H128" s="83"/>
      <c r="I128" s="83"/>
      <c r="J128" s="82"/>
      <c r="K128" s="84"/>
      <c r="L128" s="84"/>
      <c r="M128" s="81" t="str">
        <f aca="false">IF(AND(L128&lt;&gt;"",Z128="Open"),L128-Settings!$C$13,"")</f>
        <v/>
      </c>
      <c r="N128" s="81" t="str">
        <f aca="false">IF(Z128&lt;&gt;"Open","",IF(L128="","",IF(L128&lt;Settings!$C$13,"OVERDUE",IF(L128&lt;=Settings!$C$13+Settings!C9,"AT RISK","OK"))))</f>
        <v/>
      </c>
      <c r="O128" s="83"/>
      <c r="P128" s="81"/>
      <c r="Q128" s="85"/>
      <c r="R128" s="85"/>
      <c r="S128" s="85"/>
      <c r="T128" s="85" t="str">
        <f aca="false">IF(AND(Q128&gt;0,R128&gt;0),Q128-R128,"")</f>
        <v/>
      </c>
      <c r="U128" s="86" t="str">
        <f aca="false">IFERROR(IF(AND(Q128&gt;0,R128&gt;0),(Q128-R128)/Q128,""),"")</f>
        <v/>
      </c>
      <c r="V128" s="82"/>
      <c r="W128" s="84"/>
      <c r="X128" s="81" t="str">
        <f aca="false">IF(AND(K128&lt;&gt;"",W128&lt;&gt;""),W128-K128,"")</f>
        <v/>
      </c>
      <c r="Y128" s="81" t="str">
        <f aca="false">IF(AND(X128&lt;&gt;"",X128&gt;0),IF(X128&lt;=Settings!C8,"Yes","No"),"")</f>
        <v/>
      </c>
      <c r="Z128" s="83"/>
      <c r="AA128" s="87"/>
      <c r="AB128" s="88" t="str">
        <f aca="false">IF(Z128&lt;&gt;"Closed","",IF(P128&gt;=Settings!$C$10,"OK","LOW"))</f>
        <v/>
      </c>
    </row>
    <row r="129" customFormat="false" ht="15.75" hidden="false" customHeight="true" outlineLevel="0" collapsed="false">
      <c r="B129" s="89" t="str">
        <f aca="false">IF(C129&lt;&gt;"",ROW()-11,"")</f>
        <v/>
      </c>
      <c r="C129" s="90"/>
      <c r="D129" s="90"/>
      <c r="E129" s="90"/>
      <c r="F129" s="90"/>
      <c r="G129" s="90"/>
      <c r="H129" s="91"/>
      <c r="I129" s="91"/>
      <c r="J129" s="90"/>
      <c r="K129" s="92"/>
      <c r="L129" s="92"/>
      <c r="M129" s="89" t="str">
        <f aca="false">IF(AND(L129&lt;&gt;"",Z129="Open"),L129-Settings!$C$13,"")</f>
        <v/>
      </c>
      <c r="N129" s="89" t="str">
        <f aca="false">IF(Z129&lt;&gt;"Open","",IF(L129="","",IF(L129&lt;Settings!$C$13,"OVERDUE",IF(L129&lt;=Settings!$C$13+Settings!C9,"AT RISK","OK"))))</f>
        <v/>
      </c>
      <c r="O129" s="91"/>
      <c r="P129" s="89"/>
      <c r="Q129" s="93"/>
      <c r="R129" s="93"/>
      <c r="S129" s="93"/>
      <c r="T129" s="93" t="str">
        <f aca="false">IF(AND(Q129&gt;0,R129&gt;0),Q129-R129,"")</f>
        <v/>
      </c>
      <c r="U129" s="94" t="str">
        <f aca="false">IFERROR(IF(AND(Q129&gt;0,R129&gt;0),(Q129-R129)/Q129,""),"")</f>
        <v/>
      </c>
      <c r="V129" s="90"/>
      <c r="W129" s="92"/>
      <c r="X129" s="89" t="str">
        <f aca="false">IF(AND(K129&lt;&gt;"",W129&lt;&gt;""),W129-K129,"")</f>
        <v/>
      </c>
      <c r="Y129" s="89" t="str">
        <f aca="false">IF(AND(X129&lt;&gt;"",X129&gt;0),IF(X129&lt;=Settings!C8,"Yes","No"),"")</f>
        <v/>
      </c>
      <c r="Z129" s="91"/>
      <c r="AA129" s="95"/>
      <c r="AB129" s="88" t="str">
        <f aca="false">IF(Z129&lt;&gt;"Closed","",IF(P129&gt;=Settings!$C$10,"OK","LOW"))</f>
        <v/>
      </c>
    </row>
    <row r="130" customFormat="false" ht="15.75" hidden="false" customHeight="true" outlineLevel="0" collapsed="false">
      <c r="B130" s="81" t="str">
        <f aca="false">IF(C130&lt;&gt;"",ROW()-11,"")</f>
        <v/>
      </c>
      <c r="C130" s="82"/>
      <c r="D130" s="82"/>
      <c r="E130" s="82"/>
      <c r="F130" s="82"/>
      <c r="G130" s="82"/>
      <c r="H130" s="83"/>
      <c r="I130" s="83"/>
      <c r="J130" s="82"/>
      <c r="K130" s="84"/>
      <c r="L130" s="84"/>
      <c r="M130" s="81" t="str">
        <f aca="false">IF(AND(L130&lt;&gt;"",Z130="Open"),L130-Settings!$C$13,"")</f>
        <v/>
      </c>
      <c r="N130" s="81" t="str">
        <f aca="false">IF(Z130&lt;&gt;"Open","",IF(L130="","",IF(L130&lt;Settings!$C$13,"OVERDUE",IF(L130&lt;=Settings!$C$13+Settings!C9,"AT RISK","OK"))))</f>
        <v/>
      </c>
      <c r="O130" s="83"/>
      <c r="P130" s="81"/>
      <c r="Q130" s="85"/>
      <c r="R130" s="85"/>
      <c r="S130" s="85"/>
      <c r="T130" s="85" t="str">
        <f aca="false">IF(AND(Q130&gt;0,R130&gt;0),Q130-R130,"")</f>
        <v/>
      </c>
      <c r="U130" s="86" t="str">
        <f aca="false">IFERROR(IF(AND(Q130&gt;0,R130&gt;0),(Q130-R130)/Q130,""),"")</f>
        <v/>
      </c>
      <c r="V130" s="82"/>
      <c r="W130" s="84"/>
      <c r="X130" s="81" t="str">
        <f aca="false">IF(AND(K130&lt;&gt;"",W130&lt;&gt;""),W130-K130,"")</f>
        <v/>
      </c>
      <c r="Y130" s="81" t="str">
        <f aca="false">IF(AND(X130&lt;&gt;"",X130&gt;0),IF(X130&lt;=Settings!C8,"Yes","No"),"")</f>
        <v/>
      </c>
      <c r="Z130" s="83"/>
      <c r="AA130" s="87"/>
      <c r="AB130" s="88" t="str">
        <f aca="false">IF(Z130&lt;&gt;"Closed","",IF(P130&gt;=Settings!$C$10,"OK","LOW"))</f>
        <v/>
      </c>
    </row>
    <row r="131" customFormat="false" ht="15.75" hidden="false" customHeight="true" outlineLevel="0" collapsed="false">
      <c r="B131" s="89" t="str">
        <f aca="false">IF(C131&lt;&gt;"",ROW()-11,"")</f>
        <v/>
      </c>
      <c r="C131" s="90"/>
      <c r="D131" s="90"/>
      <c r="E131" s="90"/>
      <c r="F131" s="90"/>
      <c r="G131" s="90"/>
      <c r="H131" s="91"/>
      <c r="I131" s="91"/>
      <c r="J131" s="90"/>
      <c r="K131" s="92"/>
      <c r="L131" s="92"/>
      <c r="M131" s="89" t="str">
        <f aca="false">IF(AND(L131&lt;&gt;"",Z131="Open"),L131-Settings!$C$13,"")</f>
        <v/>
      </c>
      <c r="N131" s="89" t="str">
        <f aca="false">IF(Z131&lt;&gt;"Open","",IF(L131="","",IF(L131&lt;Settings!$C$13,"OVERDUE",IF(L131&lt;=Settings!$C$13+Settings!C9,"AT RISK","OK"))))</f>
        <v/>
      </c>
      <c r="O131" s="91"/>
      <c r="P131" s="89"/>
      <c r="Q131" s="93"/>
      <c r="R131" s="93"/>
      <c r="S131" s="93"/>
      <c r="T131" s="93" t="str">
        <f aca="false">IF(AND(Q131&gt;0,R131&gt;0),Q131-R131,"")</f>
        <v/>
      </c>
      <c r="U131" s="94" t="str">
        <f aca="false">IFERROR(IF(AND(Q131&gt;0,R131&gt;0),(Q131-R131)/Q131,""),"")</f>
        <v/>
      </c>
      <c r="V131" s="90"/>
      <c r="W131" s="92"/>
      <c r="X131" s="89" t="str">
        <f aca="false">IF(AND(K131&lt;&gt;"",W131&lt;&gt;""),W131-K131,"")</f>
        <v/>
      </c>
      <c r="Y131" s="89" t="str">
        <f aca="false">IF(AND(X131&lt;&gt;"",X131&gt;0),IF(X131&lt;=Settings!C8,"Yes","No"),"")</f>
        <v/>
      </c>
      <c r="Z131" s="91"/>
      <c r="AA131" s="95"/>
      <c r="AB131" s="88" t="str">
        <f aca="false">IF(Z131&lt;&gt;"Closed","",IF(P131&gt;=Settings!$C$10,"OK","LOW"))</f>
        <v/>
      </c>
    </row>
    <row r="132" customFormat="false" ht="15.75" hidden="false" customHeight="true" outlineLevel="0" collapsed="false">
      <c r="B132" s="81" t="str">
        <f aca="false">IF(C132&lt;&gt;"",ROW()-11,"")</f>
        <v/>
      </c>
      <c r="C132" s="82"/>
      <c r="D132" s="82"/>
      <c r="E132" s="82"/>
      <c r="F132" s="82"/>
      <c r="G132" s="82"/>
      <c r="H132" s="83"/>
      <c r="I132" s="83"/>
      <c r="J132" s="82"/>
      <c r="K132" s="84"/>
      <c r="L132" s="84"/>
      <c r="M132" s="81" t="str">
        <f aca="false">IF(AND(L132&lt;&gt;"",Z132="Open"),L132-Settings!$C$13,"")</f>
        <v/>
      </c>
      <c r="N132" s="81" t="str">
        <f aca="false">IF(Z132&lt;&gt;"Open","",IF(L132="","",IF(L132&lt;Settings!$C$13,"OVERDUE",IF(L132&lt;=Settings!$C$13+Settings!C9,"AT RISK","OK"))))</f>
        <v/>
      </c>
      <c r="O132" s="83"/>
      <c r="P132" s="81"/>
      <c r="Q132" s="85"/>
      <c r="R132" s="85"/>
      <c r="S132" s="85"/>
      <c r="T132" s="85" t="str">
        <f aca="false">IF(AND(Q132&gt;0,R132&gt;0),Q132-R132,"")</f>
        <v/>
      </c>
      <c r="U132" s="86" t="str">
        <f aca="false">IFERROR(IF(AND(Q132&gt;0,R132&gt;0),(Q132-R132)/Q132,""),"")</f>
        <v/>
      </c>
      <c r="V132" s="82"/>
      <c r="W132" s="84"/>
      <c r="X132" s="81" t="str">
        <f aca="false">IF(AND(K132&lt;&gt;"",W132&lt;&gt;""),W132-K132,"")</f>
        <v/>
      </c>
      <c r="Y132" s="81" t="str">
        <f aca="false">IF(AND(X132&lt;&gt;"",X132&gt;0),IF(X132&lt;=Settings!C8,"Yes","No"),"")</f>
        <v/>
      </c>
      <c r="Z132" s="83"/>
      <c r="AA132" s="87"/>
      <c r="AB132" s="88" t="str">
        <f aca="false">IF(Z132&lt;&gt;"Closed","",IF(P132&gt;=Settings!$C$10,"OK","LOW"))</f>
        <v/>
      </c>
    </row>
    <row r="133" customFormat="false" ht="15.75" hidden="false" customHeight="true" outlineLevel="0" collapsed="false">
      <c r="B133" s="89" t="str">
        <f aca="false">IF(C133&lt;&gt;"",ROW()-11,"")</f>
        <v/>
      </c>
      <c r="C133" s="90"/>
      <c r="D133" s="90"/>
      <c r="E133" s="90"/>
      <c r="F133" s="90"/>
      <c r="G133" s="90"/>
      <c r="H133" s="91"/>
      <c r="I133" s="91"/>
      <c r="J133" s="90"/>
      <c r="K133" s="92"/>
      <c r="L133" s="92"/>
      <c r="M133" s="89" t="str">
        <f aca="false">IF(AND(L133&lt;&gt;"",Z133="Open"),L133-Settings!$C$13,"")</f>
        <v/>
      </c>
      <c r="N133" s="89" t="str">
        <f aca="false">IF(Z133&lt;&gt;"Open","",IF(L133="","",IF(L133&lt;Settings!$C$13,"OVERDUE",IF(L133&lt;=Settings!$C$13+Settings!C9,"AT RISK","OK"))))</f>
        <v/>
      </c>
      <c r="O133" s="91"/>
      <c r="P133" s="89"/>
      <c r="Q133" s="93"/>
      <c r="R133" s="93"/>
      <c r="S133" s="93"/>
      <c r="T133" s="93" t="str">
        <f aca="false">IF(AND(Q133&gt;0,R133&gt;0),Q133-R133,"")</f>
        <v/>
      </c>
      <c r="U133" s="94" t="str">
        <f aca="false">IFERROR(IF(AND(Q133&gt;0,R133&gt;0),(Q133-R133)/Q133,""),"")</f>
        <v/>
      </c>
      <c r="V133" s="90"/>
      <c r="W133" s="92"/>
      <c r="X133" s="89" t="str">
        <f aca="false">IF(AND(K133&lt;&gt;"",W133&lt;&gt;""),W133-K133,"")</f>
        <v/>
      </c>
      <c r="Y133" s="89" t="str">
        <f aca="false">IF(AND(X133&lt;&gt;"",X133&gt;0),IF(X133&lt;=Settings!C8,"Yes","No"),"")</f>
        <v/>
      </c>
      <c r="Z133" s="91"/>
      <c r="AA133" s="95"/>
      <c r="AB133" s="88" t="str">
        <f aca="false">IF(Z133&lt;&gt;"Closed","",IF(P133&gt;=Settings!$C$10,"OK","LOW"))</f>
        <v/>
      </c>
    </row>
    <row r="134" customFormat="false" ht="15.75" hidden="false" customHeight="true" outlineLevel="0" collapsed="false">
      <c r="B134" s="81" t="str">
        <f aca="false">IF(C134&lt;&gt;"",ROW()-11,"")</f>
        <v/>
      </c>
      <c r="C134" s="82"/>
      <c r="D134" s="82"/>
      <c r="E134" s="82"/>
      <c r="F134" s="82"/>
      <c r="G134" s="82"/>
      <c r="H134" s="83"/>
      <c r="I134" s="83"/>
      <c r="J134" s="82"/>
      <c r="K134" s="84"/>
      <c r="L134" s="84"/>
      <c r="M134" s="81" t="str">
        <f aca="false">IF(AND(L134&lt;&gt;"",Z134="Open"),L134-Settings!$C$13,"")</f>
        <v/>
      </c>
      <c r="N134" s="81" t="str">
        <f aca="false">IF(Z134&lt;&gt;"Open","",IF(L134="","",IF(L134&lt;Settings!$C$13,"OVERDUE",IF(L134&lt;=Settings!$C$13+Settings!C9,"AT RISK","OK"))))</f>
        <v/>
      </c>
      <c r="O134" s="83"/>
      <c r="P134" s="81"/>
      <c r="Q134" s="85"/>
      <c r="R134" s="85"/>
      <c r="S134" s="85"/>
      <c r="T134" s="85" t="str">
        <f aca="false">IF(AND(Q134&gt;0,R134&gt;0),Q134-R134,"")</f>
        <v/>
      </c>
      <c r="U134" s="86" t="str">
        <f aca="false">IFERROR(IF(AND(Q134&gt;0,R134&gt;0),(Q134-R134)/Q134,""),"")</f>
        <v/>
      </c>
      <c r="V134" s="82"/>
      <c r="W134" s="84"/>
      <c r="X134" s="81" t="str">
        <f aca="false">IF(AND(K134&lt;&gt;"",W134&lt;&gt;""),W134-K134,"")</f>
        <v/>
      </c>
      <c r="Y134" s="81" t="str">
        <f aca="false">IF(AND(X134&lt;&gt;"",X134&gt;0),IF(X134&lt;=Settings!C8,"Yes","No"),"")</f>
        <v/>
      </c>
      <c r="Z134" s="83"/>
      <c r="AA134" s="87"/>
      <c r="AB134" s="88" t="str">
        <f aca="false">IF(Z134&lt;&gt;"Closed","",IF(P134&gt;=Settings!$C$10,"OK","LOW"))</f>
        <v/>
      </c>
    </row>
    <row r="135" customFormat="false" ht="15.75" hidden="false" customHeight="true" outlineLevel="0" collapsed="false">
      <c r="B135" s="89" t="str">
        <f aca="false">IF(C135&lt;&gt;"",ROW()-11,"")</f>
        <v/>
      </c>
      <c r="C135" s="90"/>
      <c r="D135" s="90"/>
      <c r="E135" s="90"/>
      <c r="F135" s="90"/>
      <c r="G135" s="90"/>
      <c r="H135" s="91"/>
      <c r="I135" s="91"/>
      <c r="J135" s="90"/>
      <c r="K135" s="92"/>
      <c r="L135" s="92"/>
      <c r="M135" s="89" t="str">
        <f aca="false">IF(AND(L135&lt;&gt;"",Z135="Open"),L135-Settings!$C$13,"")</f>
        <v/>
      </c>
      <c r="N135" s="89" t="str">
        <f aca="false">IF(Z135&lt;&gt;"Open","",IF(L135="","",IF(L135&lt;Settings!$C$13,"OVERDUE",IF(L135&lt;=Settings!$C$13+Settings!C9,"AT RISK","OK"))))</f>
        <v/>
      </c>
      <c r="O135" s="91"/>
      <c r="P135" s="89"/>
      <c r="Q135" s="93"/>
      <c r="R135" s="93"/>
      <c r="S135" s="93"/>
      <c r="T135" s="93" t="str">
        <f aca="false">IF(AND(Q135&gt;0,R135&gt;0),Q135-R135,"")</f>
        <v/>
      </c>
      <c r="U135" s="94" t="str">
        <f aca="false">IFERROR(IF(AND(Q135&gt;0,R135&gt;0),(Q135-R135)/Q135,""),"")</f>
        <v/>
      </c>
      <c r="V135" s="90"/>
      <c r="W135" s="92"/>
      <c r="X135" s="89" t="str">
        <f aca="false">IF(AND(K135&lt;&gt;"",W135&lt;&gt;""),W135-K135,"")</f>
        <v/>
      </c>
      <c r="Y135" s="89" t="str">
        <f aca="false">IF(AND(X135&lt;&gt;"",X135&gt;0),IF(X135&lt;=Settings!C8,"Yes","No"),"")</f>
        <v/>
      </c>
      <c r="Z135" s="91"/>
      <c r="AA135" s="95"/>
      <c r="AB135" s="88" t="str">
        <f aca="false">IF(Z135&lt;&gt;"Closed","",IF(P135&gt;=Settings!$C$10,"OK","LOW"))</f>
        <v/>
      </c>
    </row>
    <row r="136" customFormat="false" ht="15.75" hidden="false" customHeight="true" outlineLevel="0" collapsed="false">
      <c r="B136" s="81" t="str">
        <f aca="false">IF(C136&lt;&gt;"",ROW()-11,"")</f>
        <v/>
      </c>
      <c r="C136" s="82"/>
      <c r="D136" s="82"/>
      <c r="E136" s="82"/>
      <c r="F136" s="82"/>
      <c r="G136" s="82"/>
      <c r="H136" s="83"/>
      <c r="I136" s="83"/>
      <c r="J136" s="82"/>
      <c r="K136" s="84"/>
      <c r="L136" s="84"/>
      <c r="M136" s="81" t="str">
        <f aca="false">IF(AND(L136&lt;&gt;"",Z136="Open"),L136-Settings!$C$13,"")</f>
        <v/>
      </c>
      <c r="N136" s="81" t="str">
        <f aca="false">IF(Z136&lt;&gt;"Open","",IF(L136="","",IF(L136&lt;Settings!$C$13,"OVERDUE",IF(L136&lt;=Settings!$C$13+Settings!C9,"AT RISK","OK"))))</f>
        <v/>
      </c>
      <c r="O136" s="83"/>
      <c r="P136" s="81"/>
      <c r="Q136" s="85"/>
      <c r="R136" s="85"/>
      <c r="S136" s="85"/>
      <c r="T136" s="85" t="str">
        <f aca="false">IF(AND(Q136&gt;0,R136&gt;0),Q136-R136,"")</f>
        <v/>
      </c>
      <c r="U136" s="86" t="str">
        <f aca="false">IFERROR(IF(AND(Q136&gt;0,R136&gt;0),(Q136-R136)/Q136,""),"")</f>
        <v/>
      </c>
      <c r="V136" s="82"/>
      <c r="W136" s="84"/>
      <c r="X136" s="81" t="str">
        <f aca="false">IF(AND(K136&lt;&gt;"",W136&lt;&gt;""),W136-K136,"")</f>
        <v/>
      </c>
      <c r="Y136" s="81" t="str">
        <f aca="false">IF(AND(X136&lt;&gt;"",X136&gt;0),IF(X136&lt;=Settings!C8,"Yes","No"),"")</f>
        <v/>
      </c>
      <c r="Z136" s="83"/>
      <c r="AA136" s="87"/>
      <c r="AB136" s="88" t="str">
        <f aca="false">IF(Z136&lt;&gt;"Closed","",IF(P136&gt;=Settings!$C$10,"OK","LOW"))</f>
        <v/>
      </c>
    </row>
    <row r="137" customFormat="false" ht="15.75" hidden="false" customHeight="true" outlineLevel="0" collapsed="false">
      <c r="B137" s="89" t="str">
        <f aca="false">IF(C137&lt;&gt;"",ROW()-11,"")</f>
        <v/>
      </c>
      <c r="C137" s="90"/>
      <c r="D137" s="90"/>
      <c r="E137" s="90"/>
      <c r="F137" s="90"/>
      <c r="G137" s="90"/>
      <c r="H137" s="91"/>
      <c r="I137" s="91"/>
      <c r="J137" s="90"/>
      <c r="K137" s="92"/>
      <c r="L137" s="92"/>
      <c r="M137" s="89" t="str">
        <f aca="false">IF(AND(L137&lt;&gt;"",Z137="Open"),L137-Settings!$C$13,"")</f>
        <v/>
      </c>
      <c r="N137" s="89" t="str">
        <f aca="false">IF(Z137&lt;&gt;"Open","",IF(L137="","",IF(L137&lt;Settings!$C$13,"OVERDUE",IF(L137&lt;=Settings!$C$13+Settings!C9,"AT RISK","OK"))))</f>
        <v/>
      </c>
      <c r="O137" s="91"/>
      <c r="P137" s="89"/>
      <c r="Q137" s="93"/>
      <c r="R137" s="93"/>
      <c r="S137" s="93"/>
      <c r="T137" s="93" t="str">
        <f aca="false">IF(AND(Q137&gt;0,R137&gt;0),Q137-R137,"")</f>
        <v/>
      </c>
      <c r="U137" s="94" t="str">
        <f aca="false">IFERROR(IF(AND(Q137&gt;0,R137&gt;0),(Q137-R137)/Q137,""),"")</f>
        <v/>
      </c>
      <c r="V137" s="90"/>
      <c r="W137" s="92"/>
      <c r="X137" s="89" t="str">
        <f aca="false">IF(AND(K137&lt;&gt;"",W137&lt;&gt;""),W137-K137,"")</f>
        <v/>
      </c>
      <c r="Y137" s="89" t="str">
        <f aca="false">IF(AND(X137&lt;&gt;"",X137&gt;0),IF(X137&lt;=Settings!C8,"Yes","No"),"")</f>
        <v/>
      </c>
      <c r="Z137" s="91"/>
      <c r="AA137" s="95"/>
      <c r="AB137" s="88" t="str">
        <f aca="false">IF(Z137&lt;&gt;"Closed","",IF(P137&gt;=Settings!$C$10,"OK","LOW"))</f>
        <v/>
      </c>
    </row>
    <row r="138" customFormat="false" ht="15.75" hidden="false" customHeight="true" outlineLevel="0" collapsed="false">
      <c r="B138" s="81" t="str">
        <f aca="false">IF(C138&lt;&gt;"",ROW()-11,"")</f>
        <v/>
      </c>
      <c r="C138" s="82"/>
      <c r="D138" s="82"/>
      <c r="E138" s="82"/>
      <c r="F138" s="82"/>
      <c r="G138" s="82"/>
      <c r="H138" s="83"/>
      <c r="I138" s="83"/>
      <c r="J138" s="82"/>
      <c r="K138" s="84"/>
      <c r="L138" s="84"/>
      <c r="M138" s="81" t="str">
        <f aca="false">IF(AND(L138&lt;&gt;"",Z138="Open"),L138-Settings!$C$13,"")</f>
        <v/>
      </c>
      <c r="N138" s="81" t="str">
        <f aca="false">IF(Z138&lt;&gt;"Open","",IF(L138="","",IF(L138&lt;Settings!$C$13,"OVERDUE",IF(L138&lt;=Settings!$C$13+Settings!C9,"AT RISK","OK"))))</f>
        <v/>
      </c>
      <c r="O138" s="83"/>
      <c r="P138" s="81"/>
      <c r="Q138" s="85"/>
      <c r="R138" s="85"/>
      <c r="S138" s="85"/>
      <c r="T138" s="85" t="str">
        <f aca="false">IF(AND(Q138&gt;0,R138&gt;0),Q138-R138,"")</f>
        <v/>
      </c>
      <c r="U138" s="86" t="str">
        <f aca="false">IFERROR(IF(AND(Q138&gt;0,R138&gt;0),(Q138-R138)/Q138,""),"")</f>
        <v/>
      </c>
      <c r="V138" s="82"/>
      <c r="W138" s="84"/>
      <c r="X138" s="81" t="str">
        <f aca="false">IF(AND(K138&lt;&gt;"",W138&lt;&gt;""),W138-K138,"")</f>
        <v/>
      </c>
      <c r="Y138" s="81" t="str">
        <f aca="false">IF(AND(X138&lt;&gt;"",X138&gt;0),IF(X138&lt;=Settings!C8,"Yes","No"),"")</f>
        <v/>
      </c>
      <c r="Z138" s="83"/>
      <c r="AA138" s="87"/>
      <c r="AB138" s="88" t="str">
        <f aca="false">IF(Z138&lt;&gt;"Closed","",IF(P138&gt;=Settings!$C$10,"OK","LOW"))</f>
        <v/>
      </c>
    </row>
    <row r="139" customFormat="false" ht="15.75" hidden="false" customHeight="true" outlineLevel="0" collapsed="false">
      <c r="B139" s="89" t="str">
        <f aca="false">IF(C139&lt;&gt;"",ROW()-11,"")</f>
        <v/>
      </c>
      <c r="C139" s="90"/>
      <c r="D139" s="90"/>
      <c r="E139" s="90"/>
      <c r="F139" s="90"/>
      <c r="G139" s="90"/>
      <c r="H139" s="91"/>
      <c r="I139" s="91"/>
      <c r="J139" s="90"/>
      <c r="K139" s="92"/>
      <c r="L139" s="92"/>
      <c r="M139" s="89" t="str">
        <f aca="false">IF(AND(L139&lt;&gt;"",Z139="Open"),L139-Settings!$C$13,"")</f>
        <v/>
      </c>
      <c r="N139" s="89" t="str">
        <f aca="false">IF(Z139&lt;&gt;"Open","",IF(L139="","",IF(L139&lt;Settings!$C$13,"OVERDUE",IF(L139&lt;=Settings!$C$13+Settings!C9,"AT RISK","OK"))))</f>
        <v/>
      </c>
      <c r="O139" s="91"/>
      <c r="P139" s="89"/>
      <c r="Q139" s="93"/>
      <c r="R139" s="93"/>
      <c r="S139" s="93"/>
      <c r="T139" s="93" t="str">
        <f aca="false">IF(AND(Q139&gt;0,R139&gt;0),Q139-R139,"")</f>
        <v/>
      </c>
      <c r="U139" s="94" t="str">
        <f aca="false">IFERROR(IF(AND(Q139&gt;0,R139&gt;0),(Q139-R139)/Q139,""),"")</f>
        <v/>
      </c>
      <c r="V139" s="90"/>
      <c r="W139" s="92"/>
      <c r="X139" s="89" t="str">
        <f aca="false">IF(AND(K139&lt;&gt;"",W139&lt;&gt;""),W139-K139,"")</f>
        <v/>
      </c>
      <c r="Y139" s="89" t="str">
        <f aca="false">IF(AND(X139&lt;&gt;"",X139&gt;0),IF(X139&lt;=Settings!C8,"Yes","No"),"")</f>
        <v/>
      </c>
      <c r="Z139" s="91"/>
      <c r="AA139" s="95"/>
      <c r="AB139" s="88" t="str">
        <f aca="false">IF(Z139&lt;&gt;"Closed","",IF(P139&gt;=Settings!$C$10,"OK","LOW"))</f>
        <v/>
      </c>
    </row>
    <row r="140" customFormat="false" ht="15.75" hidden="false" customHeight="true" outlineLevel="0" collapsed="false">
      <c r="B140" s="81" t="str">
        <f aca="false">IF(C140&lt;&gt;"",ROW()-11,"")</f>
        <v/>
      </c>
      <c r="C140" s="82"/>
      <c r="D140" s="82"/>
      <c r="E140" s="82"/>
      <c r="F140" s="82"/>
      <c r="G140" s="82"/>
      <c r="H140" s="83"/>
      <c r="I140" s="83"/>
      <c r="J140" s="82"/>
      <c r="K140" s="84"/>
      <c r="L140" s="84"/>
      <c r="M140" s="81" t="str">
        <f aca="false">IF(AND(L140&lt;&gt;"",Z140="Open"),L140-Settings!$C$13,"")</f>
        <v/>
      </c>
      <c r="N140" s="81" t="str">
        <f aca="false">IF(Z140&lt;&gt;"Open","",IF(L140="","",IF(L140&lt;Settings!$C$13,"OVERDUE",IF(L140&lt;=Settings!$C$13+Settings!C9,"AT RISK","OK"))))</f>
        <v/>
      </c>
      <c r="O140" s="83"/>
      <c r="P140" s="81"/>
      <c r="Q140" s="85"/>
      <c r="R140" s="85"/>
      <c r="S140" s="85"/>
      <c r="T140" s="85" t="str">
        <f aca="false">IF(AND(Q140&gt;0,R140&gt;0),Q140-R140,"")</f>
        <v/>
      </c>
      <c r="U140" s="86" t="str">
        <f aca="false">IFERROR(IF(AND(Q140&gt;0,R140&gt;0),(Q140-R140)/Q140,""),"")</f>
        <v/>
      </c>
      <c r="V140" s="82"/>
      <c r="W140" s="84"/>
      <c r="X140" s="81" t="str">
        <f aca="false">IF(AND(K140&lt;&gt;"",W140&lt;&gt;""),W140-K140,"")</f>
        <v/>
      </c>
      <c r="Y140" s="81" t="str">
        <f aca="false">IF(AND(X140&lt;&gt;"",X140&gt;0),IF(X140&lt;=Settings!C8,"Yes","No"),"")</f>
        <v/>
      </c>
      <c r="Z140" s="83"/>
      <c r="AA140" s="87"/>
      <c r="AB140" s="88" t="str">
        <f aca="false">IF(Z140&lt;&gt;"Closed","",IF(P140&gt;=Settings!$C$10,"OK","LOW"))</f>
        <v/>
      </c>
    </row>
    <row r="141" customFormat="false" ht="15.75" hidden="false" customHeight="true" outlineLevel="0" collapsed="false">
      <c r="B141" s="89" t="str">
        <f aca="false">IF(C141&lt;&gt;"",ROW()-11,"")</f>
        <v/>
      </c>
      <c r="C141" s="90"/>
      <c r="D141" s="90"/>
      <c r="E141" s="90"/>
      <c r="F141" s="90"/>
      <c r="G141" s="90"/>
      <c r="H141" s="91"/>
      <c r="I141" s="91"/>
      <c r="J141" s="90"/>
      <c r="K141" s="92"/>
      <c r="L141" s="92"/>
      <c r="M141" s="89" t="str">
        <f aca="false">IF(AND(L141&lt;&gt;"",Z141="Open"),L141-Settings!$C$13,"")</f>
        <v/>
      </c>
      <c r="N141" s="89" t="str">
        <f aca="false">IF(Z141&lt;&gt;"Open","",IF(L141="","",IF(L141&lt;Settings!$C$13,"OVERDUE",IF(L141&lt;=Settings!$C$13+Settings!C9,"AT RISK","OK"))))</f>
        <v/>
      </c>
      <c r="O141" s="91"/>
      <c r="P141" s="89"/>
      <c r="Q141" s="93"/>
      <c r="R141" s="93"/>
      <c r="S141" s="93"/>
      <c r="T141" s="93" t="str">
        <f aca="false">IF(AND(Q141&gt;0,R141&gt;0),Q141-R141,"")</f>
        <v/>
      </c>
      <c r="U141" s="94" t="str">
        <f aca="false">IFERROR(IF(AND(Q141&gt;0,R141&gt;0),(Q141-R141)/Q141,""),"")</f>
        <v/>
      </c>
      <c r="V141" s="90"/>
      <c r="W141" s="92"/>
      <c r="X141" s="89" t="str">
        <f aca="false">IF(AND(K141&lt;&gt;"",W141&lt;&gt;""),W141-K141,"")</f>
        <v/>
      </c>
      <c r="Y141" s="89" t="str">
        <f aca="false">IF(AND(X141&lt;&gt;"",X141&gt;0),IF(X141&lt;=Settings!C8,"Yes","No"),"")</f>
        <v/>
      </c>
      <c r="Z141" s="91"/>
      <c r="AA141" s="95"/>
      <c r="AB141" s="88" t="str">
        <f aca="false">IF(Z141&lt;&gt;"Closed","",IF(P141&gt;=Settings!$C$10,"OK","LOW"))</f>
        <v/>
      </c>
    </row>
    <row r="142" customFormat="false" ht="15.75" hidden="false" customHeight="true" outlineLevel="0" collapsed="false">
      <c r="B142" s="81" t="str">
        <f aca="false">IF(C142&lt;&gt;"",ROW()-11,"")</f>
        <v/>
      </c>
      <c r="C142" s="82"/>
      <c r="D142" s="82"/>
      <c r="E142" s="82"/>
      <c r="F142" s="82"/>
      <c r="G142" s="82"/>
      <c r="H142" s="83"/>
      <c r="I142" s="83"/>
      <c r="J142" s="82"/>
      <c r="K142" s="84"/>
      <c r="L142" s="84"/>
      <c r="M142" s="81" t="str">
        <f aca="false">IF(AND(L142&lt;&gt;"",Z142="Open"),L142-Settings!$C$13,"")</f>
        <v/>
      </c>
      <c r="N142" s="81" t="str">
        <f aca="false">IF(Z142&lt;&gt;"Open","",IF(L142="","",IF(L142&lt;Settings!$C$13,"OVERDUE",IF(L142&lt;=Settings!$C$13+Settings!C9,"AT RISK","OK"))))</f>
        <v/>
      </c>
      <c r="O142" s="83"/>
      <c r="P142" s="81"/>
      <c r="Q142" s="85"/>
      <c r="R142" s="85"/>
      <c r="S142" s="85"/>
      <c r="T142" s="85" t="str">
        <f aca="false">IF(AND(Q142&gt;0,R142&gt;0),Q142-R142,"")</f>
        <v/>
      </c>
      <c r="U142" s="86" t="str">
        <f aca="false">IFERROR(IF(AND(Q142&gt;0,R142&gt;0),(Q142-R142)/Q142,""),"")</f>
        <v/>
      </c>
      <c r="V142" s="82"/>
      <c r="W142" s="84"/>
      <c r="X142" s="81" t="str">
        <f aca="false">IF(AND(K142&lt;&gt;"",W142&lt;&gt;""),W142-K142,"")</f>
        <v/>
      </c>
      <c r="Y142" s="81" t="str">
        <f aca="false">IF(AND(X142&lt;&gt;"",X142&gt;0),IF(X142&lt;=Settings!C8,"Yes","No"),"")</f>
        <v/>
      </c>
      <c r="Z142" s="83"/>
      <c r="AA142" s="87"/>
      <c r="AB142" s="88" t="str">
        <f aca="false">IF(Z142&lt;&gt;"Closed","",IF(P142&gt;=Settings!$C$10,"OK","LOW"))</f>
        <v/>
      </c>
    </row>
    <row r="143" customFormat="false" ht="15.75" hidden="false" customHeight="true" outlineLevel="0" collapsed="false">
      <c r="B143" s="89" t="str">
        <f aca="false">IF(C143&lt;&gt;"",ROW()-11,"")</f>
        <v/>
      </c>
      <c r="C143" s="90"/>
      <c r="D143" s="90"/>
      <c r="E143" s="90"/>
      <c r="F143" s="90"/>
      <c r="G143" s="90"/>
      <c r="H143" s="91"/>
      <c r="I143" s="91"/>
      <c r="J143" s="90"/>
      <c r="K143" s="92"/>
      <c r="L143" s="92"/>
      <c r="M143" s="89" t="str">
        <f aca="false">IF(AND(L143&lt;&gt;"",Z143="Open"),L143-Settings!$C$13,"")</f>
        <v/>
      </c>
      <c r="N143" s="89" t="str">
        <f aca="false">IF(Z143&lt;&gt;"Open","",IF(L143="","",IF(L143&lt;Settings!$C$13,"OVERDUE",IF(L143&lt;=Settings!$C$13+Settings!C9,"AT RISK","OK"))))</f>
        <v/>
      </c>
      <c r="O143" s="91"/>
      <c r="P143" s="89"/>
      <c r="Q143" s="93"/>
      <c r="R143" s="93"/>
      <c r="S143" s="93"/>
      <c r="T143" s="93" t="str">
        <f aca="false">IF(AND(Q143&gt;0,R143&gt;0),Q143-R143,"")</f>
        <v/>
      </c>
      <c r="U143" s="94" t="str">
        <f aca="false">IFERROR(IF(AND(Q143&gt;0,R143&gt;0),(Q143-R143)/Q143,""),"")</f>
        <v/>
      </c>
      <c r="V143" s="90"/>
      <c r="W143" s="92"/>
      <c r="X143" s="89" t="str">
        <f aca="false">IF(AND(K143&lt;&gt;"",W143&lt;&gt;""),W143-K143,"")</f>
        <v/>
      </c>
      <c r="Y143" s="89" t="str">
        <f aca="false">IF(AND(X143&lt;&gt;"",X143&gt;0),IF(X143&lt;=Settings!C8,"Yes","No"),"")</f>
        <v/>
      </c>
      <c r="Z143" s="91"/>
      <c r="AA143" s="95"/>
      <c r="AB143" s="88" t="str">
        <f aca="false">IF(Z143&lt;&gt;"Closed","",IF(P143&gt;=Settings!$C$10,"OK","LOW"))</f>
        <v/>
      </c>
    </row>
    <row r="144" customFormat="false" ht="15.75" hidden="false" customHeight="true" outlineLevel="0" collapsed="false">
      <c r="B144" s="81" t="str">
        <f aca="false">IF(C144&lt;&gt;"",ROW()-11,"")</f>
        <v/>
      </c>
      <c r="C144" s="82"/>
      <c r="D144" s="82"/>
      <c r="E144" s="82"/>
      <c r="F144" s="82"/>
      <c r="G144" s="82"/>
      <c r="H144" s="83"/>
      <c r="I144" s="83"/>
      <c r="J144" s="82"/>
      <c r="K144" s="84"/>
      <c r="L144" s="84"/>
      <c r="M144" s="81" t="str">
        <f aca="false">IF(AND(L144&lt;&gt;"",Z144="Open"),L144-Settings!$C$13,"")</f>
        <v/>
      </c>
      <c r="N144" s="81" t="str">
        <f aca="false">IF(Z144&lt;&gt;"Open","",IF(L144="","",IF(L144&lt;Settings!$C$13,"OVERDUE",IF(L144&lt;=Settings!$C$13+Settings!C9,"AT RISK","OK"))))</f>
        <v/>
      </c>
      <c r="O144" s="83"/>
      <c r="P144" s="81"/>
      <c r="Q144" s="85"/>
      <c r="R144" s="85"/>
      <c r="S144" s="85"/>
      <c r="T144" s="85" t="str">
        <f aca="false">IF(AND(Q144&gt;0,R144&gt;0),Q144-R144,"")</f>
        <v/>
      </c>
      <c r="U144" s="86" t="str">
        <f aca="false">IFERROR(IF(AND(Q144&gt;0,R144&gt;0),(Q144-R144)/Q144,""),"")</f>
        <v/>
      </c>
      <c r="V144" s="82"/>
      <c r="W144" s="84"/>
      <c r="X144" s="81" t="str">
        <f aca="false">IF(AND(K144&lt;&gt;"",W144&lt;&gt;""),W144-K144,"")</f>
        <v/>
      </c>
      <c r="Y144" s="81" t="str">
        <f aca="false">IF(AND(X144&lt;&gt;"",X144&gt;0),IF(X144&lt;=Settings!C8,"Yes","No"),"")</f>
        <v/>
      </c>
      <c r="Z144" s="83"/>
      <c r="AA144" s="87"/>
      <c r="AB144" s="88" t="str">
        <f aca="false">IF(Z144&lt;&gt;"Closed","",IF(P144&gt;=Settings!$C$10,"OK","LOW"))</f>
        <v/>
      </c>
    </row>
    <row r="145" customFormat="false" ht="15.75" hidden="false" customHeight="true" outlineLevel="0" collapsed="false">
      <c r="B145" s="89" t="str">
        <f aca="false">IF(C145&lt;&gt;"",ROW()-11,"")</f>
        <v/>
      </c>
      <c r="C145" s="90"/>
      <c r="D145" s="90"/>
      <c r="E145" s="90"/>
      <c r="F145" s="90"/>
      <c r="G145" s="90"/>
      <c r="H145" s="91"/>
      <c r="I145" s="91"/>
      <c r="J145" s="90"/>
      <c r="K145" s="92"/>
      <c r="L145" s="92"/>
      <c r="M145" s="89" t="str">
        <f aca="false">IF(AND(L145&lt;&gt;"",Z145="Open"),L145-Settings!$C$13,"")</f>
        <v/>
      </c>
      <c r="N145" s="89" t="str">
        <f aca="false">IF(Z145&lt;&gt;"Open","",IF(L145="","",IF(L145&lt;Settings!$C$13,"OVERDUE",IF(L145&lt;=Settings!$C$13+Settings!C9,"AT RISK","OK"))))</f>
        <v/>
      </c>
      <c r="O145" s="91"/>
      <c r="P145" s="89"/>
      <c r="Q145" s="93"/>
      <c r="R145" s="93"/>
      <c r="S145" s="93"/>
      <c r="T145" s="93" t="str">
        <f aca="false">IF(AND(Q145&gt;0,R145&gt;0),Q145-R145,"")</f>
        <v/>
      </c>
      <c r="U145" s="94" t="str">
        <f aca="false">IFERROR(IF(AND(Q145&gt;0,R145&gt;0),(Q145-R145)/Q145,""),"")</f>
        <v/>
      </c>
      <c r="V145" s="90"/>
      <c r="W145" s="92"/>
      <c r="X145" s="89" t="str">
        <f aca="false">IF(AND(K145&lt;&gt;"",W145&lt;&gt;""),W145-K145,"")</f>
        <v/>
      </c>
      <c r="Y145" s="89" t="str">
        <f aca="false">IF(AND(X145&lt;&gt;"",X145&gt;0),IF(X145&lt;=Settings!C8,"Yes","No"),"")</f>
        <v/>
      </c>
      <c r="Z145" s="91"/>
      <c r="AA145" s="95"/>
      <c r="AB145" s="88" t="str">
        <f aca="false">IF(Z145&lt;&gt;"Closed","",IF(P145&gt;=Settings!$C$10,"OK","LOW"))</f>
        <v/>
      </c>
    </row>
    <row r="146" customFormat="false" ht="15.75" hidden="false" customHeight="true" outlineLevel="0" collapsed="false">
      <c r="B146" s="81" t="str">
        <f aca="false">IF(C146&lt;&gt;"",ROW()-11,"")</f>
        <v/>
      </c>
      <c r="C146" s="82"/>
      <c r="D146" s="82"/>
      <c r="E146" s="82"/>
      <c r="F146" s="82"/>
      <c r="G146" s="82"/>
      <c r="H146" s="83"/>
      <c r="I146" s="83"/>
      <c r="J146" s="82"/>
      <c r="K146" s="84"/>
      <c r="L146" s="84"/>
      <c r="M146" s="81" t="str">
        <f aca="false">IF(AND(L146&lt;&gt;"",Z146="Open"),L146-Settings!$C$13,"")</f>
        <v/>
      </c>
      <c r="N146" s="81" t="str">
        <f aca="false">IF(Z146&lt;&gt;"Open","",IF(L146="","",IF(L146&lt;Settings!$C$13,"OVERDUE",IF(L146&lt;=Settings!$C$13+Settings!C9,"AT RISK","OK"))))</f>
        <v/>
      </c>
      <c r="O146" s="83"/>
      <c r="P146" s="81"/>
      <c r="Q146" s="85"/>
      <c r="R146" s="85"/>
      <c r="S146" s="85"/>
      <c r="T146" s="85" t="str">
        <f aca="false">IF(AND(Q146&gt;0,R146&gt;0),Q146-R146,"")</f>
        <v/>
      </c>
      <c r="U146" s="86" t="str">
        <f aca="false">IFERROR(IF(AND(Q146&gt;0,R146&gt;0),(Q146-R146)/Q146,""),"")</f>
        <v/>
      </c>
      <c r="V146" s="82"/>
      <c r="W146" s="84"/>
      <c r="X146" s="81" t="str">
        <f aca="false">IF(AND(K146&lt;&gt;"",W146&lt;&gt;""),W146-K146,"")</f>
        <v/>
      </c>
      <c r="Y146" s="81" t="str">
        <f aca="false">IF(AND(X146&lt;&gt;"",X146&gt;0),IF(X146&lt;=Settings!C8,"Yes","No"),"")</f>
        <v/>
      </c>
      <c r="Z146" s="83"/>
      <c r="AA146" s="87"/>
      <c r="AB146" s="88" t="str">
        <f aca="false">IF(Z146&lt;&gt;"Closed","",IF(P146&gt;=Settings!$C$10,"OK","LOW"))</f>
        <v/>
      </c>
    </row>
    <row r="147" customFormat="false" ht="15.75" hidden="false" customHeight="true" outlineLevel="0" collapsed="false">
      <c r="B147" s="89" t="str">
        <f aca="false">IF(C147&lt;&gt;"",ROW()-11,"")</f>
        <v/>
      </c>
      <c r="C147" s="90"/>
      <c r="D147" s="90"/>
      <c r="E147" s="90"/>
      <c r="F147" s="90"/>
      <c r="G147" s="90"/>
      <c r="H147" s="91"/>
      <c r="I147" s="91"/>
      <c r="J147" s="90"/>
      <c r="K147" s="92"/>
      <c r="L147" s="92"/>
      <c r="M147" s="89" t="str">
        <f aca="false">IF(AND(L147&lt;&gt;"",Z147="Open"),L147-Settings!$C$13,"")</f>
        <v/>
      </c>
      <c r="N147" s="89" t="str">
        <f aca="false">IF(Z147&lt;&gt;"Open","",IF(L147="","",IF(L147&lt;Settings!$C$13,"OVERDUE",IF(L147&lt;=Settings!$C$13+Settings!C9,"AT RISK","OK"))))</f>
        <v/>
      </c>
      <c r="O147" s="91"/>
      <c r="P147" s="89"/>
      <c r="Q147" s="93"/>
      <c r="R147" s="93"/>
      <c r="S147" s="93"/>
      <c r="T147" s="93" t="str">
        <f aca="false">IF(AND(Q147&gt;0,R147&gt;0),Q147-R147,"")</f>
        <v/>
      </c>
      <c r="U147" s="94" t="str">
        <f aca="false">IFERROR(IF(AND(Q147&gt;0,R147&gt;0),(Q147-R147)/Q147,""),"")</f>
        <v/>
      </c>
      <c r="V147" s="90"/>
      <c r="W147" s="92"/>
      <c r="X147" s="89" t="str">
        <f aca="false">IF(AND(K147&lt;&gt;"",W147&lt;&gt;""),W147-K147,"")</f>
        <v/>
      </c>
      <c r="Y147" s="89" t="str">
        <f aca="false">IF(AND(X147&lt;&gt;"",X147&gt;0),IF(X147&lt;=Settings!C8,"Yes","No"),"")</f>
        <v/>
      </c>
      <c r="Z147" s="91"/>
      <c r="AA147" s="95"/>
      <c r="AB147" s="88" t="str">
        <f aca="false">IF(Z147&lt;&gt;"Closed","",IF(P147&gt;=Settings!$C$10,"OK","LOW"))</f>
        <v/>
      </c>
    </row>
    <row r="148" customFormat="false" ht="15.75" hidden="false" customHeight="true" outlineLevel="0" collapsed="false">
      <c r="B148" s="81" t="str">
        <f aca="false">IF(C148&lt;&gt;"",ROW()-11,"")</f>
        <v/>
      </c>
      <c r="C148" s="82"/>
      <c r="D148" s="82"/>
      <c r="E148" s="82"/>
      <c r="F148" s="82"/>
      <c r="G148" s="82"/>
      <c r="H148" s="83"/>
      <c r="I148" s="83"/>
      <c r="J148" s="82"/>
      <c r="K148" s="84"/>
      <c r="L148" s="84"/>
      <c r="M148" s="81" t="str">
        <f aca="false">IF(AND(L148&lt;&gt;"",Z148="Open"),L148-Settings!$C$13,"")</f>
        <v/>
      </c>
      <c r="N148" s="81" t="str">
        <f aca="false">IF(Z148&lt;&gt;"Open","",IF(L148="","",IF(L148&lt;Settings!$C$13,"OVERDUE",IF(L148&lt;=Settings!$C$13+Settings!C9,"AT RISK","OK"))))</f>
        <v/>
      </c>
      <c r="O148" s="83"/>
      <c r="P148" s="81"/>
      <c r="Q148" s="85"/>
      <c r="R148" s="85"/>
      <c r="S148" s="85"/>
      <c r="T148" s="85" t="str">
        <f aca="false">IF(AND(Q148&gt;0,R148&gt;0),Q148-R148,"")</f>
        <v/>
      </c>
      <c r="U148" s="86" t="str">
        <f aca="false">IFERROR(IF(AND(Q148&gt;0,R148&gt;0),(Q148-R148)/Q148,""),"")</f>
        <v/>
      </c>
      <c r="V148" s="82"/>
      <c r="W148" s="84"/>
      <c r="X148" s="81" t="str">
        <f aca="false">IF(AND(K148&lt;&gt;"",W148&lt;&gt;""),W148-K148,"")</f>
        <v/>
      </c>
      <c r="Y148" s="81" t="str">
        <f aca="false">IF(AND(X148&lt;&gt;"",X148&gt;0),IF(X148&lt;=Settings!C8,"Yes","No"),"")</f>
        <v/>
      </c>
      <c r="Z148" s="83"/>
      <c r="AA148" s="87"/>
      <c r="AB148" s="88" t="str">
        <f aca="false">IF(Z148&lt;&gt;"Closed","",IF(P148&gt;=Settings!$C$10,"OK","LOW"))</f>
        <v/>
      </c>
    </row>
    <row r="149" customFormat="false" ht="15.75" hidden="false" customHeight="true" outlineLevel="0" collapsed="false">
      <c r="B149" s="89" t="str">
        <f aca="false">IF(C149&lt;&gt;"",ROW()-11,"")</f>
        <v/>
      </c>
      <c r="C149" s="90"/>
      <c r="D149" s="90"/>
      <c r="E149" s="90"/>
      <c r="F149" s="90"/>
      <c r="G149" s="90"/>
      <c r="H149" s="91"/>
      <c r="I149" s="91"/>
      <c r="J149" s="90"/>
      <c r="K149" s="92"/>
      <c r="L149" s="92"/>
      <c r="M149" s="89" t="str">
        <f aca="false">IF(AND(L149&lt;&gt;"",Z149="Open"),L149-Settings!$C$13,"")</f>
        <v/>
      </c>
      <c r="N149" s="89" t="str">
        <f aca="false">IF(Z149&lt;&gt;"Open","",IF(L149="","",IF(L149&lt;Settings!$C$13,"OVERDUE",IF(L149&lt;=Settings!$C$13+Settings!C9,"AT RISK","OK"))))</f>
        <v/>
      </c>
      <c r="O149" s="91"/>
      <c r="P149" s="89"/>
      <c r="Q149" s="93"/>
      <c r="R149" s="93"/>
      <c r="S149" s="93"/>
      <c r="T149" s="93" t="str">
        <f aca="false">IF(AND(Q149&gt;0,R149&gt;0),Q149-R149,"")</f>
        <v/>
      </c>
      <c r="U149" s="94" t="str">
        <f aca="false">IFERROR(IF(AND(Q149&gt;0,R149&gt;0),(Q149-R149)/Q149,""),"")</f>
        <v/>
      </c>
      <c r="V149" s="90"/>
      <c r="W149" s="92"/>
      <c r="X149" s="89" t="str">
        <f aca="false">IF(AND(K149&lt;&gt;"",W149&lt;&gt;""),W149-K149,"")</f>
        <v/>
      </c>
      <c r="Y149" s="89" t="str">
        <f aca="false">IF(AND(X149&lt;&gt;"",X149&gt;0),IF(X149&lt;=Settings!C8,"Yes","No"),"")</f>
        <v/>
      </c>
      <c r="Z149" s="91"/>
      <c r="AA149" s="95"/>
      <c r="AB149" s="88" t="str">
        <f aca="false">IF(Z149&lt;&gt;"Closed","",IF(P149&gt;=Settings!$C$10,"OK","LOW"))</f>
        <v/>
      </c>
    </row>
    <row r="150" customFormat="false" ht="15.75" hidden="false" customHeight="true" outlineLevel="0" collapsed="false">
      <c r="B150" s="81" t="str">
        <f aca="false">IF(C150&lt;&gt;"",ROW()-11,"")</f>
        <v/>
      </c>
      <c r="C150" s="82"/>
      <c r="D150" s="82"/>
      <c r="E150" s="82"/>
      <c r="F150" s="82"/>
      <c r="G150" s="82"/>
      <c r="H150" s="83"/>
      <c r="I150" s="83"/>
      <c r="J150" s="82"/>
      <c r="K150" s="84"/>
      <c r="L150" s="84"/>
      <c r="M150" s="81" t="str">
        <f aca="false">IF(AND(L150&lt;&gt;"",Z150="Open"),L150-Settings!$C$13,"")</f>
        <v/>
      </c>
      <c r="N150" s="81" t="str">
        <f aca="false">IF(Z150&lt;&gt;"Open","",IF(L150="","",IF(L150&lt;Settings!$C$13,"OVERDUE",IF(L150&lt;=Settings!$C$13+Settings!C9,"AT RISK","OK"))))</f>
        <v/>
      </c>
      <c r="O150" s="83"/>
      <c r="P150" s="81"/>
      <c r="Q150" s="85"/>
      <c r="R150" s="85"/>
      <c r="S150" s="85"/>
      <c r="T150" s="85" t="str">
        <f aca="false">IF(AND(Q150&gt;0,R150&gt;0),Q150-R150,"")</f>
        <v/>
      </c>
      <c r="U150" s="86" t="str">
        <f aca="false">IFERROR(IF(AND(Q150&gt;0,R150&gt;0),(Q150-R150)/Q150,""),"")</f>
        <v/>
      </c>
      <c r="V150" s="82"/>
      <c r="W150" s="84"/>
      <c r="X150" s="81" t="str">
        <f aca="false">IF(AND(K150&lt;&gt;"",W150&lt;&gt;""),W150-K150,"")</f>
        <v/>
      </c>
      <c r="Y150" s="81" t="str">
        <f aca="false">IF(AND(X150&lt;&gt;"",X150&gt;0),IF(X150&lt;=Settings!C8,"Yes","No"),"")</f>
        <v/>
      </c>
      <c r="Z150" s="83"/>
      <c r="AA150" s="87"/>
      <c r="AB150" s="88" t="str">
        <f aca="false">IF(Z150&lt;&gt;"Closed","",IF(P150&gt;=Settings!$C$10,"OK","LOW"))</f>
        <v/>
      </c>
    </row>
    <row r="151" customFormat="false" ht="15.75" hidden="false" customHeight="true" outlineLevel="0" collapsed="false">
      <c r="B151" s="89" t="str">
        <f aca="false">IF(C151&lt;&gt;"",ROW()-11,"")</f>
        <v/>
      </c>
      <c r="C151" s="90"/>
      <c r="D151" s="90"/>
      <c r="E151" s="90"/>
      <c r="F151" s="90"/>
      <c r="G151" s="90"/>
      <c r="H151" s="91"/>
      <c r="I151" s="91"/>
      <c r="J151" s="90"/>
      <c r="K151" s="92"/>
      <c r="L151" s="92"/>
      <c r="M151" s="89" t="str">
        <f aca="false">IF(AND(L151&lt;&gt;"",Z151="Open"),L151-Settings!$C$13,"")</f>
        <v/>
      </c>
      <c r="N151" s="89" t="str">
        <f aca="false">IF(Z151&lt;&gt;"Open","",IF(L151="","",IF(L151&lt;Settings!$C$13,"OVERDUE",IF(L151&lt;=Settings!$C$13+Settings!C9,"AT RISK","OK"))))</f>
        <v/>
      </c>
      <c r="O151" s="91"/>
      <c r="P151" s="89"/>
      <c r="Q151" s="93"/>
      <c r="R151" s="93"/>
      <c r="S151" s="93"/>
      <c r="T151" s="93" t="str">
        <f aca="false">IF(AND(Q151&gt;0,R151&gt;0),Q151-R151,"")</f>
        <v/>
      </c>
      <c r="U151" s="94" t="str">
        <f aca="false">IFERROR(IF(AND(Q151&gt;0,R151&gt;0),(Q151-R151)/Q151,""),"")</f>
        <v/>
      </c>
      <c r="V151" s="90"/>
      <c r="W151" s="92"/>
      <c r="X151" s="89" t="str">
        <f aca="false">IF(AND(K151&lt;&gt;"",W151&lt;&gt;""),W151-K151,"")</f>
        <v/>
      </c>
      <c r="Y151" s="89" t="str">
        <f aca="false">IF(AND(X151&lt;&gt;"",X151&gt;0),IF(X151&lt;=Settings!C8,"Yes","No"),"")</f>
        <v/>
      </c>
      <c r="Z151" s="91"/>
      <c r="AA151" s="95"/>
      <c r="AB151" s="88" t="str">
        <f aca="false">IF(Z151&lt;&gt;"Closed","",IF(P151&gt;=Settings!$C$10,"OK","LOW"))</f>
        <v/>
      </c>
    </row>
    <row r="152" customFormat="false" ht="15.75" hidden="false" customHeight="true" outlineLevel="0" collapsed="false">
      <c r="B152" s="81" t="str">
        <f aca="false">IF(C152&lt;&gt;"",ROW()-11,"")</f>
        <v/>
      </c>
      <c r="C152" s="82"/>
      <c r="D152" s="82"/>
      <c r="E152" s="82"/>
      <c r="F152" s="82"/>
      <c r="G152" s="82"/>
      <c r="H152" s="83"/>
      <c r="I152" s="83"/>
      <c r="J152" s="82"/>
      <c r="K152" s="84"/>
      <c r="L152" s="84"/>
      <c r="M152" s="81" t="str">
        <f aca="false">IF(AND(L152&lt;&gt;"",Z152="Open"),L152-Settings!$C$13,"")</f>
        <v/>
      </c>
      <c r="N152" s="81" t="str">
        <f aca="false">IF(Z152&lt;&gt;"Open","",IF(L152="","",IF(L152&lt;Settings!$C$13,"OVERDUE",IF(L152&lt;=Settings!$C$13+Settings!C9,"AT RISK","OK"))))</f>
        <v/>
      </c>
      <c r="O152" s="83"/>
      <c r="P152" s="81"/>
      <c r="Q152" s="85"/>
      <c r="R152" s="85"/>
      <c r="S152" s="85"/>
      <c r="T152" s="85" t="str">
        <f aca="false">IF(AND(Q152&gt;0,R152&gt;0),Q152-R152,"")</f>
        <v/>
      </c>
      <c r="U152" s="86" t="str">
        <f aca="false">IFERROR(IF(AND(Q152&gt;0,R152&gt;0),(Q152-R152)/Q152,""),"")</f>
        <v/>
      </c>
      <c r="V152" s="82"/>
      <c r="W152" s="84"/>
      <c r="X152" s="81" t="str">
        <f aca="false">IF(AND(K152&lt;&gt;"",W152&lt;&gt;""),W152-K152,"")</f>
        <v/>
      </c>
      <c r="Y152" s="81" t="str">
        <f aca="false">IF(AND(X152&lt;&gt;"",X152&gt;0),IF(X152&lt;=Settings!C8,"Yes","No"),"")</f>
        <v/>
      </c>
      <c r="Z152" s="83"/>
      <c r="AA152" s="87"/>
      <c r="AB152" s="88" t="str">
        <f aca="false">IF(Z152&lt;&gt;"Closed","",IF(P152&gt;=Settings!$C$10,"OK","LOW"))</f>
        <v/>
      </c>
    </row>
    <row r="153" customFormat="false" ht="15.75" hidden="false" customHeight="true" outlineLevel="0" collapsed="false">
      <c r="B153" s="89" t="str">
        <f aca="false">IF(C153&lt;&gt;"",ROW()-11,"")</f>
        <v/>
      </c>
      <c r="C153" s="90"/>
      <c r="D153" s="90"/>
      <c r="E153" s="90"/>
      <c r="F153" s="90"/>
      <c r="G153" s="90"/>
      <c r="H153" s="91"/>
      <c r="I153" s="91"/>
      <c r="J153" s="90"/>
      <c r="K153" s="92"/>
      <c r="L153" s="92"/>
      <c r="M153" s="89" t="str">
        <f aca="false">IF(AND(L153&lt;&gt;"",Z153="Open"),L153-Settings!$C$13,"")</f>
        <v/>
      </c>
      <c r="N153" s="89" t="str">
        <f aca="false">IF(Z153&lt;&gt;"Open","",IF(L153="","",IF(L153&lt;Settings!$C$13,"OVERDUE",IF(L153&lt;=Settings!$C$13+Settings!C9,"AT RISK","OK"))))</f>
        <v/>
      </c>
      <c r="O153" s="91"/>
      <c r="P153" s="89"/>
      <c r="Q153" s="93"/>
      <c r="R153" s="93"/>
      <c r="S153" s="93"/>
      <c r="T153" s="93" t="str">
        <f aca="false">IF(AND(Q153&gt;0,R153&gt;0),Q153-R153,"")</f>
        <v/>
      </c>
      <c r="U153" s="94" t="str">
        <f aca="false">IFERROR(IF(AND(Q153&gt;0,R153&gt;0),(Q153-R153)/Q153,""),"")</f>
        <v/>
      </c>
      <c r="V153" s="90"/>
      <c r="W153" s="92"/>
      <c r="X153" s="89" t="str">
        <f aca="false">IF(AND(K153&lt;&gt;"",W153&lt;&gt;""),W153-K153,"")</f>
        <v/>
      </c>
      <c r="Y153" s="89" t="str">
        <f aca="false">IF(AND(X153&lt;&gt;"",X153&gt;0),IF(X153&lt;=Settings!C8,"Yes","No"),"")</f>
        <v/>
      </c>
      <c r="Z153" s="91"/>
      <c r="AA153" s="95"/>
      <c r="AB153" s="88" t="str">
        <f aca="false">IF(Z153&lt;&gt;"Closed","",IF(P153&gt;=Settings!$C$10,"OK","LOW"))</f>
        <v/>
      </c>
    </row>
    <row r="154" customFormat="false" ht="15.75" hidden="false" customHeight="true" outlineLevel="0" collapsed="false">
      <c r="B154" s="81" t="str">
        <f aca="false">IF(C154&lt;&gt;"",ROW()-11,"")</f>
        <v/>
      </c>
      <c r="C154" s="82"/>
      <c r="D154" s="82"/>
      <c r="E154" s="82"/>
      <c r="F154" s="82"/>
      <c r="G154" s="82"/>
      <c r="H154" s="83"/>
      <c r="I154" s="83"/>
      <c r="J154" s="82"/>
      <c r="K154" s="84"/>
      <c r="L154" s="84"/>
      <c r="M154" s="81" t="str">
        <f aca="false">IF(AND(L154&lt;&gt;"",Z154="Open"),L154-Settings!$C$13,"")</f>
        <v/>
      </c>
      <c r="N154" s="81" t="str">
        <f aca="false">IF(Z154&lt;&gt;"Open","",IF(L154="","",IF(L154&lt;Settings!$C$13,"OVERDUE",IF(L154&lt;=Settings!$C$13+Settings!C9,"AT RISK","OK"))))</f>
        <v/>
      </c>
      <c r="O154" s="83"/>
      <c r="P154" s="81"/>
      <c r="Q154" s="85"/>
      <c r="R154" s="85"/>
      <c r="S154" s="85"/>
      <c r="T154" s="85" t="str">
        <f aca="false">IF(AND(Q154&gt;0,R154&gt;0),Q154-R154,"")</f>
        <v/>
      </c>
      <c r="U154" s="86" t="str">
        <f aca="false">IFERROR(IF(AND(Q154&gt;0,R154&gt;0),(Q154-R154)/Q154,""),"")</f>
        <v/>
      </c>
      <c r="V154" s="82"/>
      <c r="W154" s="84"/>
      <c r="X154" s="81" t="str">
        <f aca="false">IF(AND(K154&lt;&gt;"",W154&lt;&gt;""),W154-K154,"")</f>
        <v/>
      </c>
      <c r="Y154" s="81" t="str">
        <f aca="false">IF(AND(X154&lt;&gt;"",X154&gt;0),IF(X154&lt;=Settings!C8,"Yes","No"),"")</f>
        <v/>
      </c>
      <c r="Z154" s="83"/>
      <c r="AA154" s="87"/>
      <c r="AB154" s="88" t="str">
        <f aca="false">IF(Z154&lt;&gt;"Closed","",IF(P154&gt;=Settings!$C$10,"OK","LOW"))</f>
        <v/>
      </c>
    </row>
    <row r="155" customFormat="false" ht="15.75" hidden="false" customHeight="true" outlineLevel="0" collapsed="false">
      <c r="B155" s="89" t="str">
        <f aca="false">IF(C155&lt;&gt;"",ROW()-11,"")</f>
        <v/>
      </c>
      <c r="C155" s="90"/>
      <c r="D155" s="90"/>
      <c r="E155" s="90"/>
      <c r="F155" s="90"/>
      <c r="G155" s="90"/>
      <c r="H155" s="91"/>
      <c r="I155" s="91"/>
      <c r="J155" s="90"/>
      <c r="K155" s="92"/>
      <c r="L155" s="92"/>
      <c r="M155" s="89" t="str">
        <f aca="false">IF(AND(L155&lt;&gt;"",Z155="Open"),L155-Settings!$C$13,"")</f>
        <v/>
      </c>
      <c r="N155" s="89" t="str">
        <f aca="false">IF(Z155&lt;&gt;"Open","",IF(L155="","",IF(L155&lt;Settings!$C$13,"OVERDUE",IF(L155&lt;=Settings!$C$13+Settings!C9,"AT RISK","OK"))))</f>
        <v/>
      </c>
      <c r="O155" s="91"/>
      <c r="P155" s="89"/>
      <c r="Q155" s="93"/>
      <c r="R155" s="93"/>
      <c r="S155" s="93"/>
      <c r="T155" s="93" t="str">
        <f aca="false">IF(AND(Q155&gt;0,R155&gt;0),Q155-R155,"")</f>
        <v/>
      </c>
      <c r="U155" s="94" t="str">
        <f aca="false">IFERROR(IF(AND(Q155&gt;0,R155&gt;0),(Q155-R155)/Q155,""),"")</f>
        <v/>
      </c>
      <c r="V155" s="90"/>
      <c r="W155" s="92"/>
      <c r="X155" s="89" t="str">
        <f aca="false">IF(AND(K155&lt;&gt;"",W155&lt;&gt;""),W155-K155,"")</f>
        <v/>
      </c>
      <c r="Y155" s="89" t="str">
        <f aca="false">IF(AND(X155&lt;&gt;"",X155&gt;0),IF(X155&lt;=Settings!C8,"Yes","No"),"")</f>
        <v/>
      </c>
      <c r="Z155" s="91"/>
      <c r="AA155" s="95"/>
      <c r="AB155" s="88" t="str">
        <f aca="false">IF(Z155&lt;&gt;"Closed","",IF(P155&gt;=Settings!$C$10,"OK","LOW"))</f>
        <v/>
      </c>
    </row>
    <row r="156" customFormat="false" ht="15.75" hidden="false" customHeight="true" outlineLevel="0" collapsed="false">
      <c r="B156" s="81" t="str">
        <f aca="false">IF(C156&lt;&gt;"",ROW()-11,"")</f>
        <v/>
      </c>
      <c r="C156" s="82"/>
      <c r="D156" s="82"/>
      <c r="E156" s="82"/>
      <c r="F156" s="82"/>
      <c r="G156" s="82"/>
      <c r="H156" s="83"/>
      <c r="I156" s="83"/>
      <c r="J156" s="82"/>
      <c r="K156" s="84"/>
      <c r="L156" s="84"/>
      <c r="M156" s="81" t="str">
        <f aca="false">IF(AND(L156&lt;&gt;"",Z156="Open"),L156-Settings!$C$13,"")</f>
        <v/>
      </c>
      <c r="N156" s="81" t="str">
        <f aca="false">IF(Z156&lt;&gt;"Open","",IF(L156="","",IF(L156&lt;Settings!$C$13,"OVERDUE",IF(L156&lt;=Settings!$C$13+Settings!C9,"AT RISK","OK"))))</f>
        <v/>
      </c>
      <c r="O156" s="83"/>
      <c r="P156" s="81"/>
      <c r="Q156" s="85"/>
      <c r="R156" s="85"/>
      <c r="S156" s="85"/>
      <c r="T156" s="85" t="str">
        <f aca="false">IF(AND(Q156&gt;0,R156&gt;0),Q156-R156,"")</f>
        <v/>
      </c>
      <c r="U156" s="86" t="str">
        <f aca="false">IFERROR(IF(AND(Q156&gt;0,R156&gt;0),(Q156-R156)/Q156,""),"")</f>
        <v/>
      </c>
      <c r="V156" s="82"/>
      <c r="W156" s="84"/>
      <c r="X156" s="81" t="str">
        <f aca="false">IF(AND(K156&lt;&gt;"",W156&lt;&gt;""),W156-K156,"")</f>
        <v/>
      </c>
      <c r="Y156" s="81" t="str">
        <f aca="false">IF(AND(X156&lt;&gt;"",X156&gt;0),IF(X156&lt;=Settings!C8,"Yes","No"),"")</f>
        <v/>
      </c>
      <c r="Z156" s="83"/>
      <c r="AA156" s="87"/>
      <c r="AB156" s="88" t="str">
        <f aca="false">IF(Z156&lt;&gt;"Closed","",IF(P156&gt;=Settings!$C$10,"OK","LOW"))</f>
        <v/>
      </c>
    </row>
    <row r="157" customFormat="false" ht="15.75" hidden="false" customHeight="true" outlineLevel="0" collapsed="false">
      <c r="B157" s="89" t="str">
        <f aca="false">IF(C157&lt;&gt;"",ROW()-11,"")</f>
        <v/>
      </c>
      <c r="C157" s="90"/>
      <c r="D157" s="90"/>
      <c r="E157" s="90"/>
      <c r="F157" s="90"/>
      <c r="G157" s="90"/>
      <c r="H157" s="91"/>
      <c r="I157" s="91"/>
      <c r="J157" s="90"/>
      <c r="K157" s="92"/>
      <c r="L157" s="92"/>
      <c r="M157" s="89" t="str">
        <f aca="false">IF(AND(L157&lt;&gt;"",Z157="Open"),L157-Settings!$C$13,"")</f>
        <v/>
      </c>
      <c r="N157" s="89" t="str">
        <f aca="false">IF(Z157&lt;&gt;"Open","",IF(L157="","",IF(L157&lt;Settings!$C$13,"OVERDUE",IF(L157&lt;=Settings!$C$13+Settings!C9,"AT RISK","OK"))))</f>
        <v/>
      </c>
      <c r="O157" s="91"/>
      <c r="P157" s="89"/>
      <c r="Q157" s="93"/>
      <c r="R157" s="93"/>
      <c r="S157" s="93"/>
      <c r="T157" s="93" t="str">
        <f aca="false">IF(AND(Q157&gt;0,R157&gt;0),Q157-R157,"")</f>
        <v/>
      </c>
      <c r="U157" s="94" t="str">
        <f aca="false">IFERROR(IF(AND(Q157&gt;0,R157&gt;0),(Q157-R157)/Q157,""),"")</f>
        <v/>
      </c>
      <c r="V157" s="90"/>
      <c r="W157" s="92"/>
      <c r="X157" s="89" t="str">
        <f aca="false">IF(AND(K157&lt;&gt;"",W157&lt;&gt;""),W157-K157,"")</f>
        <v/>
      </c>
      <c r="Y157" s="89" t="str">
        <f aca="false">IF(AND(X157&lt;&gt;"",X157&gt;0),IF(X157&lt;=Settings!C8,"Yes","No"),"")</f>
        <v/>
      </c>
      <c r="Z157" s="91"/>
      <c r="AA157" s="95"/>
      <c r="AB157" s="88" t="str">
        <f aca="false">IF(Z157&lt;&gt;"Closed","",IF(P157&gt;=Settings!$C$10,"OK","LOW"))</f>
        <v/>
      </c>
    </row>
    <row r="158" customFormat="false" ht="15.75" hidden="false" customHeight="true" outlineLevel="0" collapsed="false">
      <c r="B158" s="81" t="str">
        <f aca="false">IF(C158&lt;&gt;"",ROW()-11,"")</f>
        <v/>
      </c>
      <c r="C158" s="82"/>
      <c r="D158" s="82"/>
      <c r="E158" s="82"/>
      <c r="F158" s="82"/>
      <c r="G158" s="82"/>
      <c r="H158" s="83"/>
      <c r="I158" s="83"/>
      <c r="J158" s="82"/>
      <c r="K158" s="84"/>
      <c r="L158" s="84"/>
      <c r="M158" s="81" t="str">
        <f aca="false">IF(AND(L158&lt;&gt;"",Z158="Open"),L158-Settings!$C$13,"")</f>
        <v/>
      </c>
      <c r="N158" s="81" t="str">
        <f aca="false">IF(Z158&lt;&gt;"Open","",IF(L158="","",IF(L158&lt;Settings!$C$13,"OVERDUE",IF(L158&lt;=Settings!$C$13+Settings!C9,"AT RISK","OK"))))</f>
        <v/>
      </c>
      <c r="O158" s="83"/>
      <c r="P158" s="81"/>
      <c r="Q158" s="85"/>
      <c r="R158" s="85"/>
      <c r="S158" s="85"/>
      <c r="T158" s="85" t="str">
        <f aca="false">IF(AND(Q158&gt;0,R158&gt;0),Q158-R158,"")</f>
        <v/>
      </c>
      <c r="U158" s="86" t="str">
        <f aca="false">IFERROR(IF(AND(Q158&gt;0,R158&gt;0),(Q158-R158)/Q158,""),"")</f>
        <v/>
      </c>
      <c r="V158" s="82"/>
      <c r="W158" s="84"/>
      <c r="X158" s="81" t="str">
        <f aca="false">IF(AND(K158&lt;&gt;"",W158&lt;&gt;""),W158-K158,"")</f>
        <v/>
      </c>
      <c r="Y158" s="81" t="str">
        <f aca="false">IF(AND(X158&lt;&gt;"",X158&gt;0),IF(X158&lt;=Settings!C8,"Yes","No"),"")</f>
        <v/>
      </c>
      <c r="Z158" s="83"/>
      <c r="AA158" s="87"/>
      <c r="AB158" s="88" t="str">
        <f aca="false">IF(Z158&lt;&gt;"Closed","",IF(P158&gt;=Settings!$C$10,"OK","LOW"))</f>
        <v/>
      </c>
    </row>
    <row r="159" customFormat="false" ht="15.75" hidden="false" customHeight="true" outlineLevel="0" collapsed="false">
      <c r="B159" s="89" t="str">
        <f aca="false">IF(C159&lt;&gt;"",ROW()-11,"")</f>
        <v/>
      </c>
      <c r="C159" s="90"/>
      <c r="D159" s="90"/>
      <c r="E159" s="90"/>
      <c r="F159" s="90"/>
      <c r="G159" s="90"/>
      <c r="H159" s="91"/>
      <c r="I159" s="91"/>
      <c r="J159" s="90"/>
      <c r="K159" s="92"/>
      <c r="L159" s="92"/>
      <c r="M159" s="89" t="str">
        <f aca="false">IF(AND(L159&lt;&gt;"",Z159="Open"),L159-Settings!$C$13,"")</f>
        <v/>
      </c>
      <c r="N159" s="89" t="str">
        <f aca="false">IF(Z159&lt;&gt;"Open","",IF(L159="","",IF(L159&lt;Settings!$C$13,"OVERDUE",IF(L159&lt;=Settings!$C$13+Settings!C9,"AT RISK","OK"))))</f>
        <v/>
      </c>
      <c r="O159" s="91"/>
      <c r="P159" s="89"/>
      <c r="Q159" s="93"/>
      <c r="R159" s="93"/>
      <c r="S159" s="93"/>
      <c r="T159" s="93" t="str">
        <f aca="false">IF(AND(Q159&gt;0,R159&gt;0),Q159-R159,"")</f>
        <v/>
      </c>
      <c r="U159" s="94" t="str">
        <f aca="false">IFERROR(IF(AND(Q159&gt;0,R159&gt;0),(Q159-R159)/Q159,""),"")</f>
        <v/>
      </c>
      <c r="V159" s="90"/>
      <c r="W159" s="92"/>
      <c r="X159" s="89" t="str">
        <f aca="false">IF(AND(K159&lt;&gt;"",W159&lt;&gt;""),W159-K159,"")</f>
        <v/>
      </c>
      <c r="Y159" s="89" t="str">
        <f aca="false">IF(AND(X159&lt;&gt;"",X159&gt;0),IF(X159&lt;=Settings!C8,"Yes","No"),"")</f>
        <v/>
      </c>
      <c r="Z159" s="91"/>
      <c r="AA159" s="95"/>
      <c r="AB159" s="88" t="str">
        <f aca="false">IF(Z159&lt;&gt;"Closed","",IF(P159&gt;=Settings!$C$10,"OK","LOW"))</f>
        <v/>
      </c>
    </row>
    <row r="160" customFormat="false" ht="15.75" hidden="false" customHeight="true" outlineLevel="0" collapsed="false">
      <c r="B160" s="81" t="str">
        <f aca="false">IF(C160&lt;&gt;"",ROW()-11,"")</f>
        <v/>
      </c>
      <c r="C160" s="82"/>
      <c r="D160" s="82"/>
      <c r="E160" s="82"/>
      <c r="F160" s="82"/>
      <c r="G160" s="82"/>
      <c r="H160" s="83"/>
      <c r="I160" s="83"/>
      <c r="J160" s="82"/>
      <c r="K160" s="84"/>
      <c r="L160" s="84"/>
      <c r="M160" s="81" t="str">
        <f aca="false">IF(AND(L160&lt;&gt;"",Z160="Open"),L160-Settings!$C$13,"")</f>
        <v/>
      </c>
      <c r="N160" s="81" t="str">
        <f aca="false">IF(Z160&lt;&gt;"Open","",IF(L160="","",IF(L160&lt;Settings!$C$13,"OVERDUE",IF(L160&lt;=Settings!$C$13+Settings!C9,"AT RISK","OK"))))</f>
        <v/>
      </c>
      <c r="O160" s="83"/>
      <c r="P160" s="81"/>
      <c r="Q160" s="85"/>
      <c r="R160" s="85"/>
      <c r="S160" s="85"/>
      <c r="T160" s="85" t="str">
        <f aca="false">IF(AND(Q160&gt;0,R160&gt;0),Q160-R160,"")</f>
        <v/>
      </c>
      <c r="U160" s="86" t="str">
        <f aca="false">IFERROR(IF(AND(Q160&gt;0,R160&gt;0),(Q160-R160)/Q160,""),"")</f>
        <v/>
      </c>
      <c r="V160" s="82"/>
      <c r="W160" s="84"/>
      <c r="X160" s="81" t="str">
        <f aca="false">IF(AND(K160&lt;&gt;"",W160&lt;&gt;""),W160-K160,"")</f>
        <v/>
      </c>
      <c r="Y160" s="81" t="str">
        <f aca="false">IF(AND(X160&lt;&gt;"",X160&gt;0),IF(X160&lt;=Settings!C8,"Yes","No"),"")</f>
        <v/>
      </c>
      <c r="Z160" s="83"/>
      <c r="AA160" s="87"/>
      <c r="AB160" s="88" t="str">
        <f aca="false">IF(Z160&lt;&gt;"Closed","",IF(P160&gt;=Settings!$C$10,"OK","LOW"))</f>
        <v/>
      </c>
    </row>
    <row r="161" customFormat="false" ht="15.75" hidden="false" customHeight="true" outlineLevel="0" collapsed="false">
      <c r="B161" s="89" t="str">
        <f aca="false">IF(C161&lt;&gt;"",ROW()-11,"")</f>
        <v/>
      </c>
      <c r="C161" s="90"/>
      <c r="D161" s="90"/>
      <c r="E161" s="90"/>
      <c r="F161" s="90"/>
      <c r="G161" s="90"/>
      <c r="H161" s="91"/>
      <c r="I161" s="91"/>
      <c r="J161" s="90"/>
      <c r="K161" s="92"/>
      <c r="L161" s="92"/>
      <c r="M161" s="89" t="str">
        <f aca="false">IF(AND(L161&lt;&gt;"",Z161="Open"),L161-Settings!$C$13,"")</f>
        <v/>
      </c>
      <c r="N161" s="89" t="str">
        <f aca="false">IF(Z161&lt;&gt;"Open","",IF(L161="","",IF(L161&lt;Settings!$C$13,"OVERDUE",IF(L161&lt;=Settings!$C$13+Settings!C9,"AT RISK","OK"))))</f>
        <v/>
      </c>
      <c r="O161" s="91"/>
      <c r="P161" s="89"/>
      <c r="Q161" s="93"/>
      <c r="R161" s="93"/>
      <c r="S161" s="93"/>
      <c r="T161" s="93" t="str">
        <f aca="false">IF(AND(Q161&gt;0,R161&gt;0),Q161-R161,"")</f>
        <v/>
      </c>
      <c r="U161" s="94" t="str">
        <f aca="false">IFERROR(IF(AND(Q161&gt;0,R161&gt;0),(Q161-R161)/Q161,""),"")</f>
        <v/>
      </c>
      <c r="V161" s="90"/>
      <c r="W161" s="92"/>
      <c r="X161" s="89" t="str">
        <f aca="false">IF(AND(K161&lt;&gt;"",W161&lt;&gt;""),W161-K161,"")</f>
        <v/>
      </c>
      <c r="Y161" s="89" t="str">
        <f aca="false">IF(AND(X161&lt;&gt;"",X161&gt;0),IF(X161&lt;=Settings!C8,"Yes","No"),"")</f>
        <v/>
      </c>
      <c r="Z161" s="91"/>
      <c r="AA161" s="95"/>
      <c r="AB161" s="88" t="str">
        <f aca="false">IF(Z161&lt;&gt;"Closed","",IF(P161&gt;=Settings!$C$10,"OK","LOW"))</f>
        <v/>
      </c>
    </row>
    <row r="162" customFormat="false" ht="15.75" hidden="false" customHeight="true" outlineLevel="0" collapsed="false">
      <c r="B162" s="81" t="str">
        <f aca="false">IF(C162&lt;&gt;"",ROW()-11,"")</f>
        <v/>
      </c>
      <c r="C162" s="82"/>
      <c r="D162" s="82"/>
      <c r="E162" s="82"/>
      <c r="F162" s="82"/>
      <c r="G162" s="82"/>
      <c r="H162" s="83"/>
      <c r="I162" s="83"/>
      <c r="J162" s="82"/>
      <c r="K162" s="84"/>
      <c r="L162" s="84"/>
      <c r="M162" s="81" t="str">
        <f aca="false">IF(AND(L162&lt;&gt;"",Z162="Open"),L162-Settings!$C$13,"")</f>
        <v/>
      </c>
      <c r="N162" s="81" t="str">
        <f aca="false">IF(Z162&lt;&gt;"Open","",IF(L162="","",IF(L162&lt;Settings!$C$13,"OVERDUE",IF(L162&lt;=Settings!$C$13+Settings!C9,"AT RISK","OK"))))</f>
        <v/>
      </c>
      <c r="O162" s="83"/>
      <c r="P162" s="81"/>
      <c r="Q162" s="85"/>
      <c r="R162" s="85"/>
      <c r="S162" s="85"/>
      <c r="T162" s="85" t="str">
        <f aca="false">IF(AND(Q162&gt;0,R162&gt;0),Q162-R162,"")</f>
        <v/>
      </c>
      <c r="U162" s="86" t="str">
        <f aca="false">IFERROR(IF(AND(Q162&gt;0,R162&gt;0),(Q162-R162)/Q162,""),"")</f>
        <v/>
      </c>
      <c r="V162" s="82"/>
      <c r="W162" s="84"/>
      <c r="X162" s="81" t="str">
        <f aca="false">IF(AND(K162&lt;&gt;"",W162&lt;&gt;""),W162-K162,"")</f>
        <v/>
      </c>
      <c r="Y162" s="81" t="str">
        <f aca="false">IF(AND(X162&lt;&gt;"",X162&gt;0),IF(X162&lt;=Settings!C8,"Yes","No"),"")</f>
        <v/>
      </c>
      <c r="Z162" s="83"/>
      <c r="AA162" s="87"/>
      <c r="AB162" s="88" t="str">
        <f aca="false">IF(Z162&lt;&gt;"Closed","",IF(P162&gt;=Settings!$C$10,"OK","LOW"))</f>
        <v/>
      </c>
    </row>
    <row r="163" customFormat="false" ht="15.75" hidden="false" customHeight="true" outlineLevel="0" collapsed="false">
      <c r="B163" s="89" t="str">
        <f aca="false">IF(C163&lt;&gt;"",ROW()-11,"")</f>
        <v/>
      </c>
      <c r="C163" s="90"/>
      <c r="D163" s="90"/>
      <c r="E163" s="90"/>
      <c r="F163" s="90"/>
      <c r="G163" s="90"/>
      <c r="H163" s="91"/>
      <c r="I163" s="91"/>
      <c r="J163" s="90"/>
      <c r="K163" s="92"/>
      <c r="L163" s="92"/>
      <c r="M163" s="89" t="str">
        <f aca="false">IF(AND(L163&lt;&gt;"",Z163="Open"),L163-Settings!$C$13,"")</f>
        <v/>
      </c>
      <c r="N163" s="89" t="str">
        <f aca="false">IF(Z163&lt;&gt;"Open","",IF(L163="","",IF(L163&lt;Settings!$C$13,"OVERDUE",IF(L163&lt;=Settings!$C$13+Settings!C9,"AT RISK","OK"))))</f>
        <v/>
      </c>
      <c r="O163" s="91"/>
      <c r="P163" s="89"/>
      <c r="Q163" s="93"/>
      <c r="R163" s="93"/>
      <c r="S163" s="93"/>
      <c r="T163" s="93" t="str">
        <f aca="false">IF(AND(Q163&gt;0,R163&gt;0),Q163-R163,"")</f>
        <v/>
      </c>
      <c r="U163" s="94" t="str">
        <f aca="false">IFERROR(IF(AND(Q163&gt;0,R163&gt;0),(Q163-R163)/Q163,""),"")</f>
        <v/>
      </c>
      <c r="V163" s="90"/>
      <c r="W163" s="92"/>
      <c r="X163" s="89" t="str">
        <f aca="false">IF(AND(K163&lt;&gt;"",W163&lt;&gt;""),W163-K163,"")</f>
        <v/>
      </c>
      <c r="Y163" s="89" t="str">
        <f aca="false">IF(AND(X163&lt;&gt;"",X163&gt;0),IF(X163&lt;=Settings!C8,"Yes","No"),"")</f>
        <v/>
      </c>
      <c r="Z163" s="91"/>
      <c r="AA163" s="95"/>
      <c r="AB163" s="88" t="str">
        <f aca="false">IF(Z163&lt;&gt;"Closed","",IF(P163&gt;=Settings!$C$10,"OK","LOW"))</f>
        <v/>
      </c>
    </row>
    <row r="164" customFormat="false" ht="15.75" hidden="false" customHeight="true" outlineLevel="0" collapsed="false">
      <c r="B164" s="81" t="str">
        <f aca="false">IF(C164&lt;&gt;"",ROW()-11,"")</f>
        <v/>
      </c>
      <c r="C164" s="82"/>
      <c r="D164" s="82"/>
      <c r="E164" s="82"/>
      <c r="F164" s="82"/>
      <c r="G164" s="82"/>
      <c r="H164" s="83"/>
      <c r="I164" s="83"/>
      <c r="J164" s="82"/>
      <c r="K164" s="84"/>
      <c r="L164" s="84"/>
      <c r="M164" s="81" t="str">
        <f aca="false">IF(AND(L164&lt;&gt;"",Z164="Open"),L164-Settings!$C$13,"")</f>
        <v/>
      </c>
      <c r="N164" s="81" t="str">
        <f aca="false">IF(Z164&lt;&gt;"Open","",IF(L164="","",IF(L164&lt;Settings!$C$13,"OVERDUE",IF(L164&lt;=Settings!$C$13+Settings!C9,"AT RISK","OK"))))</f>
        <v/>
      </c>
      <c r="O164" s="83"/>
      <c r="P164" s="81"/>
      <c r="Q164" s="85"/>
      <c r="R164" s="85"/>
      <c r="S164" s="85"/>
      <c r="T164" s="85" t="str">
        <f aca="false">IF(AND(Q164&gt;0,R164&gt;0),Q164-R164,"")</f>
        <v/>
      </c>
      <c r="U164" s="86" t="str">
        <f aca="false">IFERROR(IF(AND(Q164&gt;0,R164&gt;0),(Q164-R164)/Q164,""),"")</f>
        <v/>
      </c>
      <c r="V164" s="82"/>
      <c r="W164" s="84"/>
      <c r="X164" s="81" t="str">
        <f aca="false">IF(AND(K164&lt;&gt;"",W164&lt;&gt;""),W164-K164,"")</f>
        <v/>
      </c>
      <c r="Y164" s="81" t="str">
        <f aca="false">IF(AND(X164&lt;&gt;"",X164&gt;0),IF(X164&lt;=Settings!C8,"Yes","No"),"")</f>
        <v/>
      </c>
      <c r="Z164" s="83"/>
      <c r="AA164" s="87"/>
      <c r="AB164" s="88" t="str">
        <f aca="false">IF(Z164&lt;&gt;"Closed","",IF(P164&gt;=Settings!$C$10,"OK","LOW"))</f>
        <v/>
      </c>
    </row>
    <row r="165" customFormat="false" ht="15.75" hidden="false" customHeight="true" outlineLevel="0" collapsed="false">
      <c r="B165" s="89" t="str">
        <f aca="false">IF(C165&lt;&gt;"",ROW()-11,"")</f>
        <v/>
      </c>
      <c r="C165" s="90"/>
      <c r="D165" s="90"/>
      <c r="E165" s="90"/>
      <c r="F165" s="90"/>
      <c r="G165" s="90"/>
      <c r="H165" s="91"/>
      <c r="I165" s="91"/>
      <c r="J165" s="90"/>
      <c r="K165" s="92"/>
      <c r="L165" s="92"/>
      <c r="M165" s="89" t="str">
        <f aca="false">IF(AND(L165&lt;&gt;"",Z165="Open"),L165-Settings!$C$13,"")</f>
        <v/>
      </c>
      <c r="N165" s="89" t="str">
        <f aca="false">IF(Z165&lt;&gt;"Open","",IF(L165="","",IF(L165&lt;Settings!$C$13,"OVERDUE",IF(L165&lt;=Settings!$C$13+Settings!C9,"AT RISK","OK"))))</f>
        <v/>
      </c>
      <c r="O165" s="91"/>
      <c r="P165" s="89"/>
      <c r="Q165" s="93"/>
      <c r="R165" s="93"/>
      <c r="S165" s="93"/>
      <c r="T165" s="93" t="str">
        <f aca="false">IF(AND(Q165&gt;0,R165&gt;0),Q165-R165,"")</f>
        <v/>
      </c>
      <c r="U165" s="94" t="str">
        <f aca="false">IFERROR(IF(AND(Q165&gt;0,R165&gt;0),(Q165-R165)/Q165,""),"")</f>
        <v/>
      </c>
      <c r="V165" s="90"/>
      <c r="W165" s="92"/>
      <c r="X165" s="89" t="str">
        <f aca="false">IF(AND(K165&lt;&gt;"",W165&lt;&gt;""),W165-K165,"")</f>
        <v/>
      </c>
      <c r="Y165" s="89" t="str">
        <f aca="false">IF(AND(X165&lt;&gt;"",X165&gt;0),IF(X165&lt;=Settings!C8,"Yes","No"),"")</f>
        <v/>
      </c>
      <c r="Z165" s="91"/>
      <c r="AA165" s="95"/>
      <c r="AB165" s="88" t="str">
        <f aca="false">IF(Z165&lt;&gt;"Closed","",IF(P165&gt;=Settings!$C$10,"OK","LOW"))</f>
        <v/>
      </c>
    </row>
    <row r="166" customFormat="false" ht="15.75" hidden="false" customHeight="true" outlineLevel="0" collapsed="false">
      <c r="B166" s="81" t="str">
        <f aca="false">IF(C166&lt;&gt;"",ROW()-11,"")</f>
        <v/>
      </c>
      <c r="C166" s="82"/>
      <c r="D166" s="82"/>
      <c r="E166" s="82"/>
      <c r="F166" s="82"/>
      <c r="G166" s="82"/>
      <c r="H166" s="83"/>
      <c r="I166" s="83"/>
      <c r="J166" s="82"/>
      <c r="K166" s="84"/>
      <c r="L166" s="84"/>
      <c r="M166" s="81" t="str">
        <f aca="false">IF(AND(L166&lt;&gt;"",Z166="Open"),L166-Settings!$C$13,"")</f>
        <v/>
      </c>
      <c r="N166" s="81" t="str">
        <f aca="false">IF(Z166&lt;&gt;"Open","",IF(L166="","",IF(L166&lt;Settings!$C$13,"OVERDUE",IF(L166&lt;=Settings!$C$13+Settings!C9,"AT RISK","OK"))))</f>
        <v/>
      </c>
      <c r="O166" s="83"/>
      <c r="P166" s="81"/>
      <c r="Q166" s="85"/>
      <c r="R166" s="85"/>
      <c r="S166" s="85"/>
      <c r="T166" s="85" t="str">
        <f aca="false">IF(AND(Q166&gt;0,R166&gt;0),Q166-R166,"")</f>
        <v/>
      </c>
      <c r="U166" s="86" t="str">
        <f aca="false">IFERROR(IF(AND(Q166&gt;0,R166&gt;0),(Q166-R166)/Q166,""),"")</f>
        <v/>
      </c>
      <c r="V166" s="82"/>
      <c r="W166" s="84"/>
      <c r="X166" s="81" t="str">
        <f aca="false">IF(AND(K166&lt;&gt;"",W166&lt;&gt;""),W166-K166,"")</f>
        <v/>
      </c>
      <c r="Y166" s="81" t="str">
        <f aca="false">IF(AND(X166&lt;&gt;"",X166&gt;0),IF(X166&lt;=Settings!C8,"Yes","No"),"")</f>
        <v/>
      </c>
      <c r="Z166" s="83"/>
      <c r="AA166" s="87"/>
      <c r="AB166" s="88" t="str">
        <f aca="false">IF(Z166&lt;&gt;"Closed","",IF(P166&gt;=Settings!$C$10,"OK","LOW"))</f>
        <v/>
      </c>
    </row>
    <row r="167" customFormat="false" ht="15.75" hidden="false" customHeight="true" outlineLevel="0" collapsed="false">
      <c r="B167" s="89" t="str">
        <f aca="false">IF(C167&lt;&gt;"",ROW()-11,"")</f>
        <v/>
      </c>
      <c r="C167" s="90"/>
      <c r="D167" s="90"/>
      <c r="E167" s="90"/>
      <c r="F167" s="90"/>
      <c r="G167" s="90"/>
      <c r="H167" s="91"/>
      <c r="I167" s="91"/>
      <c r="J167" s="90"/>
      <c r="K167" s="92"/>
      <c r="L167" s="92"/>
      <c r="M167" s="89" t="str">
        <f aca="false">IF(AND(L167&lt;&gt;"",Z167="Open"),L167-Settings!$C$13,"")</f>
        <v/>
      </c>
      <c r="N167" s="89" t="str">
        <f aca="false">IF(Z167&lt;&gt;"Open","",IF(L167="","",IF(L167&lt;Settings!$C$13,"OVERDUE",IF(L167&lt;=Settings!$C$13+Settings!C9,"AT RISK","OK"))))</f>
        <v/>
      </c>
      <c r="O167" s="91"/>
      <c r="P167" s="89"/>
      <c r="Q167" s="93"/>
      <c r="R167" s="93"/>
      <c r="S167" s="93"/>
      <c r="T167" s="93" t="str">
        <f aca="false">IF(AND(Q167&gt;0,R167&gt;0),Q167-R167,"")</f>
        <v/>
      </c>
      <c r="U167" s="94" t="str">
        <f aca="false">IFERROR(IF(AND(Q167&gt;0,R167&gt;0),(Q167-R167)/Q167,""),"")</f>
        <v/>
      </c>
      <c r="V167" s="90"/>
      <c r="W167" s="92"/>
      <c r="X167" s="89" t="str">
        <f aca="false">IF(AND(K167&lt;&gt;"",W167&lt;&gt;""),W167-K167,"")</f>
        <v/>
      </c>
      <c r="Y167" s="89" t="str">
        <f aca="false">IF(AND(X167&lt;&gt;"",X167&gt;0),IF(X167&lt;=Settings!C8,"Yes","No"),"")</f>
        <v/>
      </c>
      <c r="Z167" s="91"/>
      <c r="AA167" s="95"/>
      <c r="AB167" s="88" t="str">
        <f aca="false">IF(Z167&lt;&gt;"Closed","",IF(P167&gt;=Settings!$C$10,"OK","LOW"))</f>
        <v/>
      </c>
    </row>
    <row r="168" customFormat="false" ht="15.75" hidden="false" customHeight="true" outlineLevel="0" collapsed="false">
      <c r="B168" s="81" t="str">
        <f aca="false">IF(C168&lt;&gt;"",ROW()-11,"")</f>
        <v/>
      </c>
      <c r="C168" s="82"/>
      <c r="D168" s="82"/>
      <c r="E168" s="82"/>
      <c r="F168" s="82"/>
      <c r="G168" s="82"/>
      <c r="H168" s="83"/>
      <c r="I168" s="83"/>
      <c r="J168" s="82"/>
      <c r="K168" s="84"/>
      <c r="L168" s="84"/>
      <c r="M168" s="81" t="str">
        <f aca="false">IF(AND(L168&lt;&gt;"",Z168="Open"),L168-Settings!$C$13,"")</f>
        <v/>
      </c>
      <c r="N168" s="81" t="str">
        <f aca="false">IF(Z168&lt;&gt;"Open","",IF(L168="","",IF(L168&lt;Settings!$C$13,"OVERDUE",IF(L168&lt;=Settings!$C$13+Settings!C9,"AT RISK","OK"))))</f>
        <v/>
      </c>
      <c r="O168" s="83"/>
      <c r="P168" s="81"/>
      <c r="Q168" s="85"/>
      <c r="R168" s="85"/>
      <c r="S168" s="85"/>
      <c r="T168" s="85" t="str">
        <f aca="false">IF(AND(Q168&gt;0,R168&gt;0),Q168-R168,"")</f>
        <v/>
      </c>
      <c r="U168" s="86" t="str">
        <f aca="false">IFERROR(IF(AND(Q168&gt;0,R168&gt;0),(Q168-R168)/Q168,""),"")</f>
        <v/>
      </c>
      <c r="V168" s="82"/>
      <c r="W168" s="84"/>
      <c r="X168" s="81" t="str">
        <f aca="false">IF(AND(K168&lt;&gt;"",W168&lt;&gt;""),W168-K168,"")</f>
        <v/>
      </c>
      <c r="Y168" s="81" t="str">
        <f aca="false">IF(AND(X168&lt;&gt;"",X168&gt;0),IF(X168&lt;=Settings!C8,"Yes","No"),"")</f>
        <v/>
      </c>
      <c r="Z168" s="83"/>
      <c r="AA168" s="87"/>
      <c r="AB168" s="88" t="str">
        <f aca="false">IF(Z168&lt;&gt;"Closed","",IF(P168&gt;=Settings!$C$10,"OK","LOW"))</f>
        <v/>
      </c>
    </row>
    <row r="169" customFormat="false" ht="15.75" hidden="false" customHeight="true" outlineLevel="0" collapsed="false">
      <c r="B169" s="89" t="str">
        <f aca="false">IF(C169&lt;&gt;"",ROW()-11,"")</f>
        <v/>
      </c>
      <c r="C169" s="90"/>
      <c r="D169" s="90"/>
      <c r="E169" s="90"/>
      <c r="F169" s="90"/>
      <c r="G169" s="90"/>
      <c r="H169" s="91"/>
      <c r="I169" s="91"/>
      <c r="J169" s="90"/>
      <c r="K169" s="92"/>
      <c r="L169" s="92"/>
      <c r="M169" s="89" t="str">
        <f aca="false">IF(AND(L169&lt;&gt;"",Z169="Open"),L169-Settings!$C$13,"")</f>
        <v/>
      </c>
      <c r="N169" s="89" t="str">
        <f aca="false">IF(Z169&lt;&gt;"Open","",IF(L169="","",IF(L169&lt;Settings!$C$13,"OVERDUE",IF(L169&lt;=Settings!$C$13+Settings!C9,"AT RISK","OK"))))</f>
        <v/>
      </c>
      <c r="O169" s="91"/>
      <c r="P169" s="89"/>
      <c r="Q169" s="93"/>
      <c r="R169" s="93"/>
      <c r="S169" s="93"/>
      <c r="T169" s="93" t="str">
        <f aca="false">IF(AND(Q169&gt;0,R169&gt;0),Q169-R169,"")</f>
        <v/>
      </c>
      <c r="U169" s="94" t="str">
        <f aca="false">IFERROR(IF(AND(Q169&gt;0,R169&gt;0),(Q169-R169)/Q169,""),"")</f>
        <v/>
      </c>
      <c r="V169" s="90"/>
      <c r="W169" s="92"/>
      <c r="X169" s="89" t="str">
        <f aca="false">IF(AND(K169&lt;&gt;"",W169&lt;&gt;""),W169-K169,"")</f>
        <v/>
      </c>
      <c r="Y169" s="89" t="str">
        <f aca="false">IF(AND(X169&lt;&gt;"",X169&gt;0),IF(X169&lt;=Settings!C8,"Yes","No"),"")</f>
        <v/>
      </c>
      <c r="Z169" s="91"/>
      <c r="AA169" s="95"/>
      <c r="AB169" s="88" t="str">
        <f aca="false">IF(Z169&lt;&gt;"Closed","",IF(P169&gt;=Settings!$C$10,"OK","LOW"))</f>
        <v/>
      </c>
    </row>
    <row r="170" customFormat="false" ht="15.75" hidden="false" customHeight="true" outlineLevel="0" collapsed="false">
      <c r="B170" s="81" t="str">
        <f aca="false">IF(C170&lt;&gt;"",ROW()-11,"")</f>
        <v/>
      </c>
      <c r="C170" s="82"/>
      <c r="D170" s="82"/>
      <c r="E170" s="82"/>
      <c r="F170" s="82"/>
      <c r="G170" s="82"/>
      <c r="H170" s="83"/>
      <c r="I170" s="83"/>
      <c r="J170" s="82"/>
      <c r="K170" s="84"/>
      <c r="L170" s="84"/>
      <c r="M170" s="81" t="str">
        <f aca="false">IF(AND(L170&lt;&gt;"",Z170="Open"),L170-Settings!$C$13,"")</f>
        <v/>
      </c>
      <c r="N170" s="81" t="str">
        <f aca="false">IF(Z170&lt;&gt;"Open","",IF(L170="","",IF(L170&lt;Settings!$C$13,"OVERDUE",IF(L170&lt;=Settings!$C$13+Settings!C9,"AT RISK","OK"))))</f>
        <v/>
      </c>
      <c r="O170" s="83"/>
      <c r="P170" s="81"/>
      <c r="Q170" s="85"/>
      <c r="R170" s="85"/>
      <c r="S170" s="85"/>
      <c r="T170" s="85" t="str">
        <f aca="false">IF(AND(Q170&gt;0,R170&gt;0),Q170-R170,"")</f>
        <v/>
      </c>
      <c r="U170" s="86" t="str">
        <f aca="false">IFERROR(IF(AND(Q170&gt;0,R170&gt;0),(Q170-R170)/Q170,""),"")</f>
        <v/>
      </c>
      <c r="V170" s="82"/>
      <c r="W170" s="84"/>
      <c r="X170" s="81" t="str">
        <f aca="false">IF(AND(K170&lt;&gt;"",W170&lt;&gt;""),W170-K170,"")</f>
        <v/>
      </c>
      <c r="Y170" s="81" t="str">
        <f aca="false">IF(AND(X170&lt;&gt;"",X170&gt;0),IF(X170&lt;=Settings!C8,"Yes","No"),"")</f>
        <v/>
      </c>
      <c r="Z170" s="83"/>
      <c r="AA170" s="87"/>
      <c r="AB170" s="88" t="str">
        <f aca="false">IF(Z170&lt;&gt;"Closed","",IF(P170&gt;=Settings!$C$10,"OK","LOW"))</f>
        <v/>
      </c>
    </row>
    <row r="171" customFormat="false" ht="15.75" hidden="false" customHeight="true" outlineLevel="0" collapsed="false">
      <c r="B171" s="89" t="str">
        <f aca="false">IF(C171&lt;&gt;"",ROW()-11,"")</f>
        <v/>
      </c>
      <c r="C171" s="90"/>
      <c r="D171" s="90"/>
      <c r="E171" s="90"/>
      <c r="F171" s="90"/>
      <c r="G171" s="90"/>
      <c r="H171" s="91"/>
      <c r="I171" s="91"/>
      <c r="J171" s="90"/>
      <c r="K171" s="92"/>
      <c r="L171" s="92"/>
      <c r="M171" s="89" t="str">
        <f aca="false">IF(AND(L171&lt;&gt;"",Z171="Open"),L171-Settings!$C$13,"")</f>
        <v/>
      </c>
      <c r="N171" s="89" t="str">
        <f aca="false">IF(Z171&lt;&gt;"Open","",IF(L171="","",IF(L171&lt;Settings!$C$13,"OVERDUE",IF(L171&lt;=Settings!$C$13+Settings!C9,"AT RISK","OK"))))</f>
        <v/>
      </c>
      <c r="O171" s="91"/>
      <c r="P171" s="89"/>
      <c r="Q171" s="93"/>
      <c r="R171" s="93"/>
      <c r="S171" s="93"/>
      <c r="T171" s="93" t="str">
        <f aca="false">IF(AND(Q171&gt;0,R171&gt;0),Q171-R171,"")</f>
        <v/>
      </c>
      <c r="U171" s="94" t="str">
        <f aca="false">IFERROR(IF(AND(Q171&gt;0,R171&gt;0),(Q171-R171)/Q171,""),"")</f>
        <v/>
      </c>
      <c r="V171" s="90"/>
      <c r="W171" s="92"/>
      <c r="X171" s="89" t="str">
        <f aca="false">IF(AND(K171&lt;&gt;"",W171&lt;&gt;""),W171-K171,"")</f>
        <v/>
      </c>
      <c r="Y171" s="89" t="str">
        <f aca="false">IF(AND(X171&lt;&gt;"",X171&gt;0),IF(X171&lt;=Settings!C8,"Yes","No"),"")</f>
        <v/>
      </c>
      <c r="Z171" s="91"/>
      <c r="AA171" s="95"/>
      <c r="AB171" s="88" t="str">
        <f aca="false">IF(Z171&lt;&gt;"Closed","",IF(P171&gt;=Settings!$C$10,"OK","LOW"))</f>
        <v/>
      </c>
    </row>
    <row r="172" customFormat="false" ht="15.75" hidden="false" customHeight="true" outlineLevel="0" collapsed="false">
      <c r="B172" s="81" t="str">
        <f aca="false">IF(C172&lt;&gt;"",ROW()-11,"")</f>
        <v/>
      </c>
      <c r="C172" s="82"/>
      <c r="D172" s="82"/>
      <c r="E172" s="82"/>
      <c r="F172" s="82"/>
      <c r="G172" s="82"/>
      <c r="H172" s="83"/>
      <c r="I172" s="83"/>
      <c r="J172" s="82"/>
      <c r="K172" s="84"/>
      <c r="L172" s="84"/>
      <c r="M172" s="81" t="str">
        <f aca="false">IF(AND(L172&lt;&gt;"",Z172="Open"),L172-Settings!$C$13,"")</f>
        <v/>
      </c>
      <c r="N172" s="81" t="str">
        <f aca="false">IF(Z172&lt;&gt;"Open","",IF(L172="","",IF(L172&lt;Settings!$C$13,"OVERDUE",IF(L172&lt;=Settings!$C$13+Settings!C9,"AT RISK","OK"))))</f>
        <v/>
      </c>
      <c r="O172" s="83"/>
      <c r="P172" s="81"/>
      <c r="Q172" s="85"/>
      <c r="R172" s="85"/>
      <c r="S172" s="85"/>
      <c r="T172" s="85" t="str">
        <f aca="false">IF(AND(Q172&gt;0,R172&gt;0),Q172-R172,"")</f>
        <v/>
      </c>
      <c r="U172" s="86" t="str">
        <f aca="false">IFERROR(IF(AND(Q172&gt;0,R172&gt;0),(Q172-R172)/Q172,""),"")</f>
        <v/>
      </c>
      <c r="V172" s="82"/>
      <c r="W172" s="84"/>
      <c r="X172" s="81" t="str">
        <f aca="false">IF(AND(K172&lt;&gt;"",W172&lt;&gt;""),W172-K172,"")</f>
        <v/>
      </c>
      <c r="Y172" s="81" t="str">
        <f aca="false">IF(AND(X172&lt;&gt;"",X172&gt;0),IF(X172&lt;=Settings!C8,"Yes","No"),"")</f>
        <v/>
      </c>
      <c r="Z172" s="83"/>
      <c r="AA172" s="87"/>
      <c r="AB172" s="88" t="str">
        <f aca="false">IF(Z172&lt;&gt;"Closed","",IF(P172&gt;=Settings!$C$10,"OK","LOW"))</f>
        <v/>
      </c>
    </row>
    <row r="173" customFormat="false" ht="15.75" hidden="false" customHeight="true" outlineLevel="0" collapsed="false">
      <c r="B173" s="89" t="str">
        <f aca="false">IF(C173&lt;&gt;"",ROW()-11,"")</f>
        <v/>
      </c>
      <c r="C173" s="90"/>
      <c r="D173" s="90"/>
      <c r="E173" s="90"/>
      <c r="F173" s="90"/>
      <c r="G173" s="90"/>
      <c r="H173" s="91"/>
      <c r="I173" s="91"/>
      <c r="J173" s="90"/>
      <c r="K173" s="92"/>
      <c r="L173" s="92"/>
      <c r="M173" s="89" t="str">
        <f aca="false">IF(AND(L173&lt;&gt;"",Z173="Open"),L173-Settings!$C$13,"")</f>
        <v/>
      </c>
      <c r="N173" s="89" t="str">
        <f aca="false">IF(Z173&lt;&gt;"Open","",IF(L173="","",IF(L173&lt;Settings!$C$13,"OVERDUE",IF(L173&lt;=Settings!$C$13+Settings!C9,"AT RISK","OK"))))</f>
        <v/>
      </c>
      <c r="O173" s="91"/>
      <c r="P173" s="89"/>
      <c r="Q173" s="93"/>
      <c r="R173" s="93"/>
      <c r="S173" s="93"/>
      <c r="T173" s="93" t="str">
        <f aca="false">IF(AND(Q173&gt;0,R173&gt;0),Q173-R173,"")</f>
        <v/>
      </c>
      <c r="U173" s="94" t="str">
        <f aca="false">IFERROR(IF(AND(Q173&gt;0,R173&gt;0),(Q173-R173)/Q173,""),"")</f>
        <v/>
      </c>
      <c r="V173" s="90"/>
      <c r="W173" s="92"/>
      <c r="X173" s="89" t="str">
        <f aca="false">IF(AND(K173&lt;&gt;"",W173&lt;&gt;""),W173-K173,"")</f>
        <v/>
      </c>
      <c r="Y173" s="89" t="str">
        <f aca="false">IF(AND(X173&lt;&gt;"",X173&gt;0),IF(X173&lt;=Settings!C8,"Yes","No"),"")</f>
        <v/>
      </c>
      <c r="Z173" s="91"/>
      <c r="AA173" s="95"/>
      <c r="AB173" s="88" t="str">
        <f aca="false">IF(Z173&lt;&gt;"Closed","",IF(P173&gt;=Settings!$C$10,"OK","LOW"))</f>
        <v/>
      </c>
    </row>
    <row r="174" customFormat="false" ht="15.75" hidden="false" customHeight="true" outlineLevel="0" collapsed="false">
      <c r="B174" s="81" t="str">
        <f aca="false">IF(C174&lt;&gt;"",ROW()-11,"")</f>
        <v/>
      </c>
      <c r="C174" s="82"/>
      <c r="D174" s="82"/>
      <c r="E174" s="82"/>
      <c r="F174" s="82"/>
      <c r="G174" s="82"/>
      <c r="H174" s="83"/>
      <c r="I174" s="83"/>
      <c r="J174" s="82"/>
      <c r="K174" s="84"/>
      <c r="L174" s="84"/>
      <c r="M174" s="81" t="str">
        <f aca="false">IF(AND(L174&lt;&gt;"",Z174="Open"),L174-Settings!$C$13,"")</f>
        <v/>
      </c>
      <c r="N174" s="81" t="str">
        <f aca="false">IF(Z174&lt;&gt;"Open","",IF(L174="","",IF(L174&lt;Settings!$C$13,"OVERDUE",IF(L174&lt;=Settings!$C$13+Settings!C9,"AT RISK","OK"))))</f>
        <v/>
      </c>
      <c r="O174" s="83"/>
      <c r="P174" s="81"/>
      <c r="Q174" s="85"/>
      <c r="R174" s="85"/>
      <c r="S174" s="85"/>
      <c r="T174" s="85" t="str">
        <f aca="false">IF(AND(Q174&gt;0,R174&gt;0),Q174-R174,"")</f>
        <v/>
      </c>
      <c r="U174" s="86" t="str">
        <f aca="false">IFERROR(IF(AND(Q174&gt;0,R174&gt;0),(Q174-R174)/Q174,""),"")</f>
        <v/>
      </c>
      <c r="V174" s="82"/>
      <c r="W174" s="84"/>
      <c r="X174" s="81" t="str">
        <f aca="false">IF(AND(K174&lt;&gt;"",W174&lt;&gt;""),W174-K174,"")</f>
        <v/>
      </c>
      <c r="Y174" s="81" t="str">
        <f aca="false">IF(AND(X174&lt;&gt;"",X174&gt;0),IF(X174&lt;=Settings!C8,"Yes","No"),"")</f>
        <v/>
      </c>
      <c r="Z174" s="83"/>
      <c r="AA174" s="87"/>
      <c r="AB174" s="88" t="str">
        <f aca="false">IF(Z174&lt;&gt;"Closed","",IF(P174&gt;=Settings!$C$10,"OK","LOW"))</f>
        <v/>
      </c>
    </row>
    <row r="175" customFormat="false" ht="15.75" hidden="false" customHeight="true" outlineLevel="0" collapsed="false">
      <c r="B175" s="89" t="str">
        <f aca="false">IF(C175&lt;&gt;"",ROW()-11,"")</f>
        <v/>
      </c>
      <c r="C175" s="90"/>
      <c r="D175" s="90"/>
      <c r="E175" s="90"/>
      <c r="F175" s="90"/>
      <c r="G175" s="90"/>
      <c r="H175" s="91"/>
      <c r="I175" s="91"/>
      <c r="J175" s="90"/>
      <c r="K175" s="92"/>
      <c r="L175" s="92"/>
      <c r="M175" s="89" t="str">
        <f aca="false">IF(AND(L175&lt;&gt;"",Z175="Open"),L175-Settings!$C$13,"")</f>
        <v/>
      </c>
      <c r="N175" s="89" t="str">
        <f aca="false">IF(Z175&lt;&gt;"Open","",IF(L175="","",IF(L175&lt;Settings!$C$13,"OVERDUE",IF(L175&lt;=Settings!$C$13+Settings!C9,"AT RISK","OK"))))</f>
        <v/>
      </c>
      <c r="O175" s="91"/>
      <c r="P175" s="89"/>
      <c r="Q175" s="93"/>
      <c r="R175" s="93"/>
      <c r="S175" s="93"/>
      <c r="T175" s="93" t="str">
        <f aca="false">IF(AND(Q175&gt;0,R175&gt;0),Q175-R175,"")</f>
        <v/>
      </c>
      <c r="U175" s="94" t="str">
        <f aca="false">IFERROR(IF(AND(Q175&gt;0,R175&gt;0),(Q175-R175)/Q175,""),"")</f>
        <v/>
      </c>
      <c r="V175" s="90"/>
      <c r="W175" s="92"/>
      <c r="X175" s="89" t="str">
        <f aca="false">IF(AND(K175&lt;&gt;"",W175&lt;&gt;""),W175-K175,"")</f>
        <v/>
      </c>
      <c r="Y175" s="89" t="str">
        <f aca="false">IF(AND(X175&lt;&gt;"",X175&gt;0),IF(X175&lt;=Settings!C8,"Yes","No"),"")</f>
        <v/>
      </c>
      <c r="Z175" s="91"/>
      <c r="AA175" s="95"/>
      <c r="AB175" s="88" t="str">
        <f aca="false">IF(Z175&lt;&gt;"Closed","",IF(P175&gt;=Settings!$C$10,"OK","LOW"))</f>
        <v/>
      </c>
    </row>
    <row r="176" customFormat="false" ht="15.75" hidden="false" customHeight="true" outlineLevel="0" collapsed="false">
      <c r="B176" s="81" t="str">
        <f aca="false">IF(C176&lt;&gt;"",ROW()-11,"")</f>
        <v/>
      </c>
      <c r="C176" s="82"/>
      <c r="D176" s="82"/>
      <c r="E176" s="82"/>
      <c r="F176" s="82"/>
      <c r="G176" s="82"/>
      <c r="H176" s="83"/>
      <c r="I176" s="83"/>
      <c r="J176" s="82"/>
      <c r="K176" s="84"/>
      <c r="L176" s="84"/>
      <c r="M176" s="81" t="str">
        <f aca="false">IF(AND(L176&lt;&gt;"",Z176="Open"),L176-Settings!$C$13,"")</f>
        <v/>
      </c>
      <c r="N176" s="81" t="str">
        <f aca="false">IF(Z176&lt;&gt;"Open","",IF(L176="","",IF(L176&lt;Settings!$C$13,"OVERDUE",IF(L176&lt;=Settings!$C$13+Settings!C9,"AT RISK","OK"))))</f>
        <v/>
      </c>
      <c r="O176" s="83"/>
      <c r="P176" s="81"/>
      <c r="Q176" s="85"/>
      <c r="R176" s="85"/>
      <c r="S176" s="85"/>
      <c r="T176" s="85" t="str">
        <f aca="false">IF(AND(Q176&gt;0,R176&gt;0),Q176-R176,"")</f>
        <v/>
      </c>
      <c r="U176" s="86" t="str">
        <f aca="false">IFERROR(IF(AND(Q176&gt;0,R176&gt;0),(Q176-R176)/Q176,""),"")</f>
        <v/>
      </c>
      <c r="V176" s="82"/>
      <c r="W176" s="84"/>
      <c r="X176" s="81" t="str">
        <f aca="false">IF(AND(K176&lt;&gt;"",W176&lt;&gt;""),W176-K176,"")</f>
        <v/>
      </c>
      <c r="Y176" s="81" t="str">
        <f aca="false">IF(AND(X176&lt;&gt;"",X176&gt;0),IF(X176&lt;=Settings!C8,"Yes","No"),"")</f>
        <v/>
      </c>
      <c r="Z176" s="83"/>
      <c r="AA176" s="87"/>
      <c r="AB176" s="88" t="str">
        <f aca="false">IF(Z176&lt;&gt;"Closed","",IF(P176&gt;=Settings!$C$10,"OK","LOW"))</f>
        <v/>
      </c>
    </row>
    <row r="177" customFormat="false" ht="15.75" hidden="false" customHeight="true" outlineLevel="0" collapsed="false">
      <c r="B177" s="89" t="str">
        <f aca="false">IF(C177&lt;&gt;"",ROW()-11,"")</f>
        <v/>
      </c>
      <c r="C177" s="90"/>
      <c r="D177" s="90"/>
      <c r="E177" s="90"/>
      <c r="F177" s="90"/>
      <c r="G177" s="90"/>
      <c r="H177" s="91"/>
      <c r="I177" s="91"/>
      <c r="J177" s="90"/>
      <c r="K177" s="92"/>
      <c r="L177" s="92"/>
      <c r="M177" s="89" t="str">
        <f aca="false">IF(AND(L177&lt;&gt;"",Z177="Open"),L177-Settings!$C$13,"")</f>
        <v/>
      </c>
      <c r="N177" s="89" t="str">
        <f aca="false">IF(Z177&lt;&gt;"Open","",IF(L177="","",IF(L177&lt;Settings!$C$13,"OVERDUE",IF(L177&lt;=Settings!$C$13+Settings!C9,"AT RISK","OK"))))</f>
        <v/>
      </c>
      <c r="O177" s="91"/>
      <c r="P177" s="89"/>
      <c r="Q177" s="93"/>
      <c r="R177" s="93"/>
      <c r="S177" s="93"/>
      <c r="T177" s="93" t="str">
        <f aca="false">IF(AND(Q177&gt;0,R177&gt;0),Q177-R177,"")</f>
        <v/>
      </c>
      <c r="U177" s="94" t="str">
        <f aca="false">IFERROR(IF(AND(Q177&gt;0,R177&gt;0),(Q177-R177)/Q177,""),"")</f>
        <v/>
      </c>
      <c r="V177" s="90"/>
      <c r="W177" s="92"/>
      <c r="X177" s="89" t="str">
        <f aca="false">IF(AND(K177&lt;&gt;"",W177&lt;&gt;""),W177-K177,"")</f>
        <v/>
      </c>
      <c r="Y177" s="89" t="str">
        <f aca="false">IF(AND(X177&lt;&gt;"",X177&gt;0),IF(X177&lt;=Settings!C8,"Yes","No"),"")</f>
        <v/>
      </c>
      <c r="Z177" s="91"/>
      <c r="AA177" s="95"/>
      <c r="AB177" s="88" t="str">
        <f aca="false">IF(Z177&lt;&gt;"Closed","",IF(P177&gt;=Settings!$C$10,"OK","LOW"))</f>
        <v/>
      </c>
    </row>
    <row r="178" customFormat="false" ht="15.75" hidden="false" customHeight="true" outlineLevel="0" collapsed="false">
      <c r="B178" s="81" t="str">
        <f aca="false">IF(C178&lt;&gt;"",ROW()-11,"")</f>
        <v/>
      </c>
      <c r="C178" s="82"/>
      <c r="D178" s="82"/>
      <c r="E178" s="82"/>
      <c r="F178" s="82"/>
      <c r="G178" s="82"/>
      <c r="H178" s="83"/>
      <c r="I178" s="83"/>
      <c r="J178" s="82"/>
      <c r="K178" s="84"/>
      <c r="L178" s="84"/>
      <c r="M178" s="81" t="str">
        <f aca="false">IF(AND(L178&lt;&gt;"",Z178="Open"),L178-Settings!$C$13,"")</f>
        <v/>
      </c>
      <c r="N178" s="81" t="str">
        <f aca="false">IF(Z178&lt;&gt;"Open","",IF(L178="","",IF(L178&lt;Settings!$C$13,"OVERDUE",IF(L178&lt;=Settings!$C$13+Settings!C9,"AT RISK","OK"))))</f>
        <v/>
      </c>
      <c r="O178" s="83"/>
      <c r="P178" s="81"/>
      <c r="Q178" s="85"/>
      <c r="R178" s="85"/>
      <c r="S178" s="85"/>
      <c r="T178" s="85" t="str">
        <f aca="false">IF(AND(Q178&gt;0,R178&gt;0),Q178-R178,"")</f>
        <v/>
      </c>
      <c r="U178" s="86" t="str">
        <f aca="false">IFERROR(IF(AND(Q178&gt;0,R178&gt;0),(Q178-R178)/Q178,""),"")</f>
        <v/>
      </c>
      <c r="V178" s="82"/>
      <c r="W178" s="84"/>
      <c r="X178" s="81" t="str">
        <f aca="false">IF(AND(K178&lt;&gt;"",W178&lt;&gt;""),W178-K178,"")</f>
        <v/>
      </c>
      <c r="Y178" s="81" t="str">
        <f aca="false">IF(AND(X178&lt;&gt;"",X178&gt;0),IF(X178&lt;=Settings!C8,"Yes","No"),"")</f>
        <v/>
      </c>
      <c r="Z178" s="83"/>
      <c r="AA178" s="87"/>
      <c r="AB178" s="88" t="str">
        <f aca="false">IF(Z178&lt;&gt;"Closed","",IF(P178&gt;=Settings!$C$10,"OK","LOW"))</f>
        <v/>
      </c>
    </row>
    <row r="179" customFormat="false" ht="15.75" hidden="false" customHeight="true" outlineLevel="0" collapsed="false">
      <c r="B179" s="89" t="str">
        <f aca="false">IF(C179&lt;&gt;"",ROW()-11,"")</f>
        <v/>
      </c>
      <c r="C179" s="90"/>
      <c r="D179" s="90"/>
      <c r="E179" s="90"/>
      <c r="F179" s="90"/>
      <c r="G179" s="90"/>
      <c r="H179" s="91"/>
      <c r="I179" s="91"/>
      <c r="J179" s="90"/>
      <c r="K179" s="92"/>
      <c r="L179" s="92"/>
      <c r="M179" s="89" t="str">
        <f aca="false">IF(AND(L179&lt;&gt;"",Z179="Open"),L179-Settings!$C$13,"")</f>
        <v/>
      </c>
      <c r="N179" s="89" t="str">
        <f aca="false">IF(Z179&lt;&gt;"Open","",IF(L179="","",IF(L179&lt;Settings!$C$13,"OVERDUE",IF(L179&lt;=Settings!$C$13+Settings!C9,"AT RISK","OK"))))</f>
        <v/>
      </c>
      <c r="O179" s="91"/>
      <c r="P179" s="89"/>
      <c r="Q179" s="93"/>
      <c r="R179" s="93"/>
      <c r="S179" s="93"/>
      <c r="T179" s="93" t="str">
        <f aca="false">IF(AND(Q179&gt;0,R179&gt;0),Q179-R179,"")</f>
        <v/>
      </c>
      <c r="U179" s="94" t="str">
        <f aca="false">IFERROR(IF(AND(Q179&gt;0,R179&gt;0),(Q179-R179)/Q179,""),"")</f>
        <v/>
      </c>
      <c r="V179" s="90"/>
      <c r="W179" s="92"/>
      <c r="X179" s="89" t="str">
        <f aca="false">IF(AND(K179&lt;&gt;"",W179&lt;&gt;""),W179-K179,"")</f>
        <v/>
      </c>
      <c r="Y179" s="89" t="str">
        <f aca="false">IF(AND(X179&lt;&gt;"",X179&gt;0),IF(X179&lt;=Settings!C8,"Yes","No"),"")</f>
        <v/>
      </c>
      <c r="Z179" s="91"/>
      <c r="AA179" s="95"/>
      <c r="AB179" s="88" t="str">
        <f aca="false">IF(Z179&lt;&gt;"Closed","",IF(P179&gt;=Settings!$C$10,"OK","LOW"))</f>
        <v/>
      </c>
    </row>
    <row r="180" customFormat="false" ht="15.75" hidden="false" customHeight="true" outlineLevel="0" collapsed="false">
      <c r="B180" s="81" t="str">
        <f aca="false">IF(C180&lt;&gt;"",ROW()-11,"")</f>
        <v/>
      </c>
      <c r="C180" s="82"/>
      <c r="D180" s="82"/>
      <c r="E180" s="82"/>
      <c r="F180" s="82"/>
      <c r="G180" s="82"/>
      <c r="H180" s="83"/>
      <c r="I180" s="83"/>
      <c r="J180" s="82"/>
      <c r="K180" s="84"/>
      <c r="L180" s="84"/>
      <c r="M180" s="81" t="str">
        <f aca="false">IF(AND(L180&lt;&gt;"",Z180="Open"),L180-Settings!$C$13,"")</f>
        <v/>
      </c>
      <c r="N180" s="81" t="str">
        <f aca="false">IF(Z180&lt;&gt;"Open","",IF(L180="","",IF(L180&lt;Settings!$C$13,"OVERDUE",IF(L180&lt;=Settings!$C$13+Settings!C9,"AT RISK","OK"))))</f>
        <v/>
      </c>
      <c r="O180" s="83"/>
      <c r="P180" s="81"/>
      <c r="Q180" s="85"/>
      <c r="R180" s="85"/>
      <c r="S180" s="85"/>
      <c r="T180" s="85" t="str">
        <f aca="false">IF(AND(Q180&gt;0,R180&gt;0),Q180-R180,"")</f>
        <v/>
      </c>
      <c r="U180" s="86" t="str">
        <f aca="false">IFERROR(IF(AND(Q180&gt;0,R180&gt;0),(Q180-R180)/Q180,""),"")</f>
        <v/>
      </c>
      <c r="V180" s="82"/>
      <c r="W180" s="84"/>
      <c r="X180" s="81" t="str">
        <f aca="false">IF(AND(K180&lt;&gt;"",W180&lt;&gt;""),W180-K180,"")</f>
        <v/>
      </c>
      <c r="Y180" s="81" t="str">
        <f aca="false">IF(AND(X180&lt;&gt;"",X180&gt;0),IF(X180&lt;=Settings!C8,"Yes","No"),"")</f>
        <v/>
      </c>
      <c r="Z180" s="83"/>
      <c r="AA180" s="87"/>
      <c r="AB180" s="88" t="str">
        <f aca="false">IF(Z180&lt;&gt;"Closed","",IF(P180&gt;=Settings!$C$10,"OK","LOW"))</f>
        <v/>
      </c>
    </row>
    <row r="181" customFormat="false" ht="15.75" hidden="false" customHeight="true" outlineLevel="0" collapsed="false">
      <c r="B181" s="89" t="str">
        <f aca="false">IF(C181&lt;&gt;"",ROW()-11,"")</f>
        <v/>
      </c>
      <c r="C181" s="90"/>
      <c r="D181" s="90"/>
      <c r="E181" s="90"/>
      <c r="F181" s="90"/>
      <c r="G181" s="90"/>
      <c r="H181" s="91"/>
      <c r="I181" s="91"/>
      <c r="J181" s="90"/>
      <c r="K181" s="92"/>
      <c r="L181" s="92"/>
      <c r="M181" s="89" t="str">
        <f aca="false">IF(AND(L181&lt;&gt;"",Z181="Open"),L181-Settings!$C$13,"")</f>
        <v/>
      </c>
      <c r="N181" s="89" t="str">
        <f aca="false">IF(Z181&lt;&gt;"Open","",IF(L181="","",IF(L181&lt;Settings!$C$13,"OVERDUE",IF(L181&lt;=Settings!$C$13+Settings!C9,"AT RISK","OK"))))</f>
        <v/>
      </c>
      <c r="O181" s="91"/>
      <c r="P181" s="89"/>
      <c r="Q181" s="93"/>
      <c r="R181" s="93"/>
      <c r="S181" s="93"/>
      <c r="T181" s="93" t="str">
        <f aca="false">IF(AND(Q181&gt;0,R181&gt;0),Q181-R181,"")</f>
        <v/>
      </c>
      <c r="U181" s="94" t="str">
        <f aca="false">IFERROR(IF(AND(Q181&gt;0,R181&gt;0),(Q181-R181)/Q181,""),"")</f>
        <v/>
      </c>
      <c r="V181" s="90"/>
      <c r="W181" s="92"/>
      <c r="X181" s="89" t="str">
        <f aca="false">IF(AND(K181&lt;&gt;"",W181&lt;&gt;""),W181-K181,"")</f>
        <v/>
      </c>
      <c r="Y181" s="89" t="str">
        <f aca="false">IF(AND(X181&lt;&gt;"",X181&gt;0),IF(X181&lt;=Settings!C8,"Yes","No"),"")</f>
        <v/>
      </c>
      <c r="Z181" s="91"/>
      <c r="AA181" s="95"/>
      <c r="AB181" s="88" t="str">
        <f aca="false">IF(Z181&lt;&gt;"Closed","",IF(P181&gt;=Settings!$C$10,"OK","LOW"))</f>
        <v/>
      </c>
    </row>
    <row r="182" customFormat="false" ht="15.75" hidden="false" customHeight="true" outlineLevel="0" collapsed="false">
      <c r="B182" s="81" t="str">
        <f aca="false">IF(C182&lt;&gt;"",ROW()-11,"")</f>
        <v/>
      </c>
      <c r="C182" s="82"/>
      <c r="D182" s="82"/>
      <c r="E182" s="82"/>
      <c r="F182" s="82"/>
      <c r="G182" s="82"/>
      <c r="H182" s="83"/>
      <c r="I182" s="83"/>
      <c r="J182" s="82"/>
      <c r="K182" s="84"/>
      <c r="L182" s="84"/>
      <c r="M182" s="81" t="str">
        <f aca="false">IF(AND(L182&lt;&gt;"",Z182="Open"),L182-Settings!$C$13,"")</f>
        <v/>
      </c>
      <c r="N182" s="81" t="str">
        <f aca="false">IF(Z182&lt;&gt;"Open","",IF(L182="","",IF(L182&lt;Settings!$C$13,"OVERDUE",IF(L182&lt;=Settings!$C$13+Settings!C9,"AT RISK","OK"))))</f>
        <v/>
      </c>
      <c r="O182" s="83"/>
      <c r="P182" s="81"/>
      <c r="Q182" s="85"/>
      <c r="R182" s="85"/>
      <c r="S182" s="85"/>
      <c r="T182" s="85" t="str">
        <f aca="false">IF(AND(Q182&gt;0,R182&gt;0),Q182-R182,"")</f>
        <v/>
      </c>
      <c r="U182" s="86" t="str">
        <f aca="false">IFERROR(IF(AND(Q182&gt;0,R182&gt;0),(Q182-R182)/Q182,""),"")</f>
        <v/>
      </c>
      <c r="V182" s="82"/>
      <c r="W182" s="84"/>
      <c r="X182" s="81" t="str">
        <f aca="false">IF(AND(K182&lt;&gt;"",W182&lt;&gt;""),W182-K182,"")</f>
        <v/>
      </c>
      <c r="Y182" s="81" t="str">
        <f aca="false">IF(AND(X182&lt;&gt;"",X182&gt;0),IF(X182&lt;=Settings!C8,"Yes","No"),"")</f>
        <v/>
      </c>
      <c r="Z182" s="83"/>
      <c r="AA182" s="87"/>
      <c r="AB182" s="88" t="str">
        <f aca="false">IF(Z182&lt;&gt;"Closed","",IF(P182&gt;=Settings!$C$10,"OK","LOW"))</f>
        <v/>
      </c>
    </row>
    <row r="183" customFormat="false" ht="15.75" hidden="false" customHeight="true" outlineLevel="0" collapsed="false">
      <c r="B183" s="89" t="str">
        <f aca="false">IF(C183&lt;&gt;"",ROW()-11,"")</f>
        <v/>
      </c>
      <c r="C183" s="90"/>
      <c r="D183" s="90"/>
      <c r="E183" s="90"/>
      <c r="F183" s="90"/>
      <c r="G183" s="90"/>
      <c r="H183" s="91"/>
      <c r="I183" s="91"/>
      <c r="J183" s="90"/>
      <c r="K183" s="92"/>
      <c r="L183" s="92"/>
      <c r="M183" s="89" t="str">
        <f aca="false">IF(AND(L183&lt;&gt;"",Z183="Open"),L183-Settings!$C$13,"")</f>
        <v/>
      </c>
      <c r="N183" s="89" t="str">
        <f aca="false">IF(Z183&lt;&gt;"Open","",IF(L183="","",IF(L183&lt;Settings!$C$13,"OVERDUE",IF(L183&lt;=Settings!$C$13+Settings!C9,"AT RISK","OK"))))</f>
        <v/>
      </c>
      <c r="O183" s="91"/>
      <c r="P183" s="89"/>
      <c r="Q183" s="93"/>
      <c r="R183" s="93"/>
      <c r="S183" s="93"/>
      <c r="T183" s="93" t="str">
        <f aca="false">IF(AND(Q183&gt;0,R183&gt;0),Q183-R183,"")</f>
        <v/>
      </c>
      <c r="U183" s="94" t="str">
        <f aca="false">IFERROR(IF(AND(Q183&gt;0,R183&gt;0),(Q183-R183)/Q183,""),"")</f>
        <v/>
      </c>
      <c r="V183" s="90"/>
      <c r="W183" s="92"/>
      <c r="X183" s="89" t="str">
        <f aca="false">IF(AND(K183&lt;&gt;"",W183&lt;&gt;""),W183-K183,"")</f>
        <v/>
      </c>
      <c r="Y183" s="89" t="str">
        <f aca="false">IF(AND(X183&lt;&gt;"",X183&gt;0),IF(X183&lt;=Settings!C8,"Yes","No"),"")</f>
        <v/>
      </c>
      <c r="Z183" s="91"/>
      <c r="AA183" s="95"/>
      <c r="AB183" s="88" t="str">
        <f aca="false">IF(Z183&lt;&gt;"Closed","",IF(P183&gt;=Settings!$C$10,"OK","LOW"))</f>
        <v/>
      </c>
    </row>
    <row r="184" customFormat="false" ht="15.75" hidden="false" customHeight="true" outlineLevel="0" collapsed="false">
      <c r="B184" s="81" t="str">
        <f aca="false">IF(C184&lt;&gt;"",ROW()-11,"")</f>
        <v/>
      </c>
      <c r="C184" s="82"/>
      <c r="D184" s="82"/>
      <c r="E184" s="82"/>
      <c r="F184" s="82"/>
      <c r="G184" s="82"/>
      <c r="H184" s="83"/>
      <c r="I184" s="83"/>
      <c r="J184" s="82"/>
      <c r="K184" s="84"/>
      <c r="L184" s="84"/>
      <c r="M184" s="81" t="str">
        <f aca="false">IF(AND(L184&lt;&gt;"",Z184="Open"),L184-Settings!$C$13,"")</f>
        <v/>
      </c>
      <c r="N184" s="81" t="str">
        <f aca="false">IF(Z184&lt;&gt;"Open","",IF(L184="","",IF(L184&lt;Settings!$C$13,"OVERDUE",IF(L184&lt;=Settings!$C$13+Settings!C9,"AT RISK","OK"))))</f>
        <v/>
      </c>
      <c r="O184" s="83"/>
      <c r="P184" s="81"/>
      <c r="Q184" s="85"/>
      <c r="R184" s="85"/>
      <c r="S184" s="85"/>
      <c r="T184" s="85" t="str">
        <f aca="false">IF(AND(Q184&gt;0,R184&gt;0),Q184-R184,"")</f>
        <v/>
      </c>
      <c r="U184" s="86" t="str">
        <f aca="false">IFERROR(IF(AND(Q184&gt;0,R184&gt;0),(Q184-R184)/Q184,""),"")</f>
        <v/>
      </c>
      <c r="V184" s="82"/>
      <c r="W184" s="84"/>
      <c r="X184" s="81" t="str">
        <f aca="false">IF(AND(K184&lt;&gt;"",W184&lt;&gt;""),W184-K184,"")</f>
        <v/>
      </c>
      <c r="Y184" s="81" t="str">
        <f aca="false">IF(AND(X184&lt;&gt;"",X184&gt;0),IF(X184&lt;=Settings!C8,"Yes","No"),"")</f>
        <v/>
      </c>
      <c r="Z184" s="83"/>
      <c r="AA184" s="87"/>
      <c r="AB184" s="88" t="str">
        <f aca="false">IF(Z184&lt;&gt;"Closed","",IF(P184&gt;=Settings!$C$10,"OK","LOW"))</f>
        <v/>
      </c>
    </row>
    <row r="185" customFormat="false" ht="15.75" hidden="false" customHeight="true" outlineLevel="0" collapsed="false">
      <c r="B185" s="89" t="str">
        <f aca="false">IF(C185&lt;&gt;"",ROW()-11,"")</f>
        <v/>
      </c>
      <c r="C185" s="90"/>
      <c r="D185" s="90"/>
      <c r="E185" s="90"/>
      <c r="F185" s="90"/>
      <c r="G185" s="90"/>
      <c r="H185" s="91"/>
      <c r="I185" s="91"/>
      <c r="J185" s="90"/>
      <c r="K185" s="92"/>
      <c r="L185" s="92"/>
      <c r="M185" s="89" t="str">
        <f aca="false">IF(AND(L185&lt;&gt;"",Z185="Open"),L185-Settings!$C$13,"")</f>
        <v/>
      </c>
      <c r="N185" s="89" t="str">
        <f aca="false">IF(Z185&lt;&gt;"Open","",IF(L185="","",IF(L185&lt;Settings!$C$13,"OVERDUE",IF(L185&lt;=Settings!$C$13+Settings!C9,"AT RISK","OK"))))</f>
        <v/>
      </c>
      <c r="O185" s="91"/>
      <c r="P185" s="89"/>
      <c r="Q185" s="93"/>
      <c r="R185" s="93"/>
      <c r="S185" s="93"/>
      <c r="T185" s="93" t="str">
        <f aca="false">IF(AND(Q185&gt;0,R185&gt;0),Q185-R185,"")</f>
        <v/>
      </c>
      <c r="U185" s="94" t="str">
        <f aca="false">IFERROR(IF(AND(Q185&gt;0,R185&gt;0),(Q185-R185)/Q185,""),"")</f>
        <v/>
      </c>
      <c r="V185" s="90"/>
      <c r="W185" s="92"/>
      <c r="X185" s="89" t="str">
        <f aca="false">IF(AND(K185&lt;&gt;"",W185&lt;&gt;""),W185-K185,"")</f>
        <v/>
      </c>
      <c r="Y185" s="89" t="str">
        <f aca="false">IF(AND(X185&lt;&gt;"",X185&gt;0),IF(X185&lt;=Settings!C8,"Yes","No"),"")</f>
        <v/>
      </c>
      <c r="Z185" s="91"/>
      <c r="AA185" s="95"/>
      <c r="AB185" s="88" t="str">
        <f aca="false">IF(Z185&lt;&gt;"Closed","",IF(P185&gt;=Settings!$C$10,"OK","LOW"))</f>
        <v/>
      </c>
    </row>
    <row r="186" customFormat="false" ht="15.75" hidden="false" customHeight="true" outlineLevel="0" collapsed="false">
      <c r="B186" s="81" t="str">
        <f aca="false">IF(C186&lt;&gt;"",ROW()-11,"")</f>
        <v/>
      </c>
      <c r="C186" s="82"/>
      <c r="D186" s="82"/>
      <c r="E186" s="82"/>
      <c r="F186" s="82"/>
      <c r="G186" s="82"/>
      <c r="H186" s="83"/>
      <c r="I186" s="83"/>
      <c r="J186" s="82"/>
      <c r="K186" s="84"/>
      <c r="L186" s="84"/>
      <c r="M186" s="81" t="str">
        <f aca="false">IF(AND(L186&lt;&gt;"",Z186="Open"),L186-Settings!$C$13,"")</f>
        <v/>
      </c>
      <c r="N186" s="81" t="str">
        <f aca="false">IF(Z186&lt;&gt;"Open","",IF(L186="","",IF(L186&lt;Settings!$C$13,"OVERDUE",IF(L186&lt;=Settings!$C$13+Settings!C9,"AT RISK","OK"))))</f>
        <v/>
      </c>
      <c r="O186" s="83"/>
      <c r="P186" s="81"/>
      <c r="Q186" s="85"/>
      <c r="R186" s="85"/>
      <c r="S186" s="85"/>
      <c r="T186" s="85" t="str">
        <f aca="false">IF(AND(Q186&gt;0,R186&gt;0),Q186-R186,"")</f>
        <v/>
      </c>
      <c r="U186" s="86" t="str">
        <f aca="false">IFERROR(IF(AND(Q186&gt;0,R186&gt;0),(Q186-R186)/Q186,""),"")</f>
        <v/>
      </c>
      <c r="V186" s="82"/>
      <c r="W186" s="84"/>
      <c r="X186" s="81" t="str">
        <f aca="false">IF(AND(K186&lt;&gt;"",W186&lt;&gt;""),W186-K186,"")</f>
        <v/>
      </c>
      <c r="Y186" s="81" t="str">
        <f aca="false">IF(AND(X186&lt;&gt;"",X186&gt;0),IF(X186&lt;=Settings!C8,"Yes","No"),"")</f>
        <v/>
      </c>
      <c r="Z186" s="83"/>
      <c r="AA186" s="87"/>
      <c r="AB186" s="88" t="str">
        <f aca="false">IF(Z186&lt;&gt;"Closed","",IF(P186&gt;=Settings!$C$10,"OK","LOW"))</f>
        <v/>
      </c>
    </row>
    <row r="187" customFormat="false" ht="15.75" hidden="false" customHeight="true" outlineLevel="0" collapsed="false">
      <c r="B187" s="89" t="str">
        <f aca="false">IF(C187&lt;&gt;"",ROW()-11,"")</f>
        <v/>
      </c>
      <c r="C187" s="90"/>
      <c r="D187" s="90"/>
      <c r="E187" s="90"/>
      <c r="F187" s="90"/>
      <c r="G187" s="90"/>
      <c r="H187" s="91"/>
      <c r="I187" s="91"/>
      <c r="J187" s="90"/>
      <c r="K187" s="92"/>
      <c r="L187" s="92"/>
      <c r="M187" s="89" t="str">
        <f aca="false">IF(AND(L187&lt;&gt;"",Z187="Open"),L187-Settings!$C$13,"")</f>
        <v/>
      </c>
      <c r="N187" s="89" t="str">
        <f aca="false">IF(Z187&lt;&gt;"Open","",IF(L187="","",IF(L187&lt;Settings!$C$13,"OVERDUE",IF(L187&lt;=Settings!$C$13+Settings!C9,"AT RISK","OK"))))</f>
        <v/>
      </c>
      <c r="O187" s="91"/>
      <c r="P187" s="89"/>
      <c r="Q187" s="93"/>
      <c r="R187" s="93"/>
      <c r="S187" s="93"/>
      <c r="T187" s="93" t="str">
        <f aca="false">IF(AND(Q187&gt;0,R187&gt;0),Q187-R187,"")</f>
        <v/>
      </c>
      <c r="U187" s="94" t="str">
        <f aca="false">IFERROR(IF(AND(Q187&gt;0,R187&gt;0),(Q187-R187)/Q187,""),"")</f>
        <v/>
      </c>
      <c r="V187" s="90"/>
      <c r="W187" s="92"/>
      <c r="X187" s="89" t="str">
        <f aca="false">IF(AND(K187&lt;&gt;"",W187&lt;&gt;""),W187-K187,"")</f>
        <v/>
      </c>
      <c r="Y187" s="89" t="str">
        <f aca="false">IF(AND(X187&lt;&gt;"",X187&gt;0),IF(X187&lt;=Settings!C8,"Yes","No"),"")</f>
        <v/>
      </c>
      <c r="Z187" s="91"/>
      <c r="AA187" s="95"/>
      <c r="AB187" s="88" t="str">
        <f aca="false">IF(Z187&lt;&gt;"Closed","",IF(P187&gt;=Settings!$C$10,"OK","LOW"))</f>
        <v/>
      </c>
    </row>
    <row r="188" customFormat="false" ht="15.75" hidden="false" customHeight="true" outlineLevel="0" collapsed="false">
      <c r="B188" s="81" t="str">
        <f aca="false">IF(C188&lt;&gt;"",ROW()-11,"")</f>
        <v/>
      </c>
      <c r="C188" s="82"/>
      <c r="D188" s="82"/>
      <c r="E188" s="82"/>
      <c r="F188" s="82"/>
      <c r="G188" s="82"/>
      <c r="H188" s="83"/>
      <c r="I188" s="83"/>
      <c r="J188" s="82"/>
      <c r="K188" s="84"/>
      <c r="L188" s="84"/>
      <c r="M188" s="81" t="str">
        <f aca="false">IF(AND(L188&lt;&gt;"",Z188="Open"),L188-Settings!$C$13,"")</f>
        <v/>
      </c>
      <c r="N188" s="81" t="str">
        <f aca="false">IF(Z188&lt;&gt;"Open","",IF(L188="","",IF(L188&lt;Settings!$C$13,"OVERDUE",IF(L188&lt;=Settings!$C$13+Settings!C9,"AT RISK","OK"))))</f>
        <v/>
      </c>
      <c r="O188" s="83"/>
      <c r="P188" s="81"/>
      <c r="Q188" s="85"/>
      <c r="R188" s="85"/>
      <c r="S188" s="85"/>
      <c r="T188" s="85" t="str">
        <f aca="false">IF(AND(Q188&gt;0,R188&gt;0),Q188-R188,"")</f>
        <v/>
      </c>
      <c r="U188" s="86" t="str">
        <f aca="false">IFERROR(IF(AND(Q188&gt;0,R188&gt;0),(Q188-R188)/Q188,""),"")</f>
        <v/>
      </c>
      <c r="V188" s="82"/>
      <c r="W188" s="84"/>
      <c r="X188" s="81" t="str">
        <f aca="false">IF(AND(K188&lt;&gt;"",W188&lt;&gt;""),W188-K188,"")</f>
        <v/>
      </c>
      <c r="Y188" s="81" t="str">
        <f aca="false">IF(AND(X188&lt;&gt;"",X188&gt;0),IF(X188&lt;=Settings!C8,"Yes","No"),"")</f>
        <v/>
      </c>
      <c r="Z188" s="83"/>
      <c r="AA188" s="87"/>
      <c r="AB188" s="88" t="str">
        <f aca="false">IF(Z188&lt;&gt;"Closed","",IF(P188&gt;=Settings!$C$10,"OK","LOW"))</f>
        <v/>
      </c>
    </row>
    <row r="189" customFormat="false" ht="15.75" hidden="false" customHeight="true" outlineLevel="0" collapsed="false">
      <c r="B189" s="89" t="str">
        <f aca="false">IF(C189&lt;&gt;"",ROW()-11,"")</f>
        <v/>
      </c>
      <c r="C189" s="90"/>
      <c r="D189" s="90"/>
      <c r="E189" s="90"/>
      <c r="F189" s="90"/>
      <c r="G189" s="90"/>
      <c r="H189" s="91"/>
      <c r="I189" s="91"/>
      <c r="J189" s="90"/>
      <c r="K189" s="92"/>
      <c r="L189" s="92"/>
      <c r="M189" s="89" t="str">
        <f aca="false">IF(AND(L189&lt;&gt;"",Z189="Open"),L189-Settings!$C$13,"")</f>
        <v/>
      </c>
      <c r="N189" s="89" t="str">
        <f aca="false">IF(Z189&lt;&gt;"Open","",IF(L189="","",IF(L189&lt;Settings!$C$13,"OVERDUE",IF(L189&lt;=Settings!$C$13+Settings!C9,"AT RISK","OK"))))</f>
        <v/>
      </c>
      <c r="O189" s="91"/>
      <c r="P189" s="89"/>
      <c r="Q189" s="93"/>
      <c r="R189" s="93"/>
      <c r="S189" s="93"/>
      <c r="T189" s="93" t="str">
        <f aca="false">IF(AND(Q189&gt;0,R189&gt;0),Q189-R189,"")</f>
        <v/>
      </c>
      <c r="U189" s="94" t="str">
        <f aca="false">IFERROR(IF(AND(Q189&gt;0,R189&gt;0),(Q189-R189)/Q189,""),"")</f>
        <v/>
      </c>
      <c r="V189" s="90"/>
      <c r="W189" s="92"/>
      <c r="X189" s="89" t="str">
        <f aca="false">IF(AND(K189&lt;&gt;"",W189&lt;&gt;""),W189-K189,"")</f>
        <v/>
      </c>
      <c r="Y189" s="89" t="str">
        <f aca="false">IF(AND(X189&lt;&gt;"",X189&gt;0),IF(X189&lt;=Settings!C8,"Yes","No"),"")</f>
        <v/>
      </c>
      <c r="Z189" s="91"/>
      <c r="AA189" s="95"/>
      <c r="AB189" s="88" t="str">
        <f aca="false">IF(Z189&lt;&gt;"Closed","",IF(P189&gt;=Settings!$C$10,"OK","LOW"))</f>
        <v/>
      </c>
    </row>
    <row r="190" customFormat="false" ht="15.75" hidden="false" customHeight="true" outlineLevel="0" collapsed="false">
      <c r="B190" s="81" t="str">
        <f aca="false">IF(C190&lt;&gt;"",ROW()-11,"")</f>
        <v/>
      </c>
      <c r="C190" s="82"/>
      <c r="D190" s="82"/>
      <c r="E190" s="82"/>
      <c r="F190" s="82"/>
      <c r="G190" s="82"/>
      <c r="H190" s="83"/>
      <c r="I190" s="83"/>
      <c r="J190" s="82"/>
      <c r="K190" s="84"/>
      <c r="L190" s="84"/>
      <c r="M190" s="81" t="str">
        <f aca="false">IF(AND(L190&lt;&gt;"",Z190="Open"),L190-Settings!$C$13,"")</f>
        <v/>
      </c>
      <c r="N190" s="81" t="str">
        <f aca="false">IF(Z190&lt;&gt;"Open","",IF(L190="","",IF(L190&lt;Settings!$C$13,"OVERDUE",IF(L190&lt;=Settings!$C$13+Settings!C9,"AT RISK","OK"))))</f>
        <v/>
      </c>
      <c r="O190" s="83"/>
      <c r="P190" s="81"/>
      <c r="Q190" s="85"/>
      <c r="R190" s="85"/>
      <c r="S190" s="85"/>
      <c r="T190" s="85" t="str">
        <f aca="false">IF(AND(Q190&gt;0,R190&gt;0),Q190-R190,"")</f>
        <v/>
      </c>
      <c r="U190" s="86" t="str">
        <f aca="false">IFERROR(IF(AND(Q190&gt;0,R190&gt;0),(Q190-R190)/Q190,""),"")</f>
        <v/>
      </c>
      <c r="V190" s="82"/>
      <c r="W190" s="84"/>
      <c r="X190" s="81" t="str">
        <f aca="false">IF(AND(K190&lt;&gt;"",W190&lt;&gt;""),W190-K190,"")</f>
        <v/>
      </c>
      <c r="Y190" s="81" t="str">
        <f aca="false">IF(AND(X190&lt;&gt;"",X190&gt;0),IF(X190&lt;=Settings!C8,"Yes","No"),"")</f>
        <v/>
      </c>
      <c r="Z190" s="83"/>
      <c r="AA190" s="87"/>
      <c r="AB190" s="88" t="str">
        <f aca="false">IF(Z190&lt;&gt;"Closed","",IF(P190&gt;=Settings!$C$10,"OK","LOW"))</f>
        <v/>
      </c>
    </row>
    <row r="191" customFormat="false" ht="15.75" hidden="false" customHeight="true" outlineLevel="0" collapsed="false">
      <c r="B191" s="89" t="str">
        <f aca="false">IF(C191&lt;&gt;"",ROW()-11,"")</f>
        <v/>
      </c>
      <c r="C191" s="90"/>
      <c r="D191" s="90"/>
      <c r="E191" s="90"/>
      <c r="F191" s="90"/>
      <c r="G191" s="90"/>
      <c r="H191" s="91"/>
      <c r="I191" s="91"/>
      <c r="J191" s="90"/>
      <c r="K191" s="92"/>
      <c r="L191" s="92"/>
      <c r="M191" s="89" t="str">
        <f aca="false">IF(AND(L191&lt;&gt;"",Z191="Open"),L191-Settings!$C$13,"")</f>
        <v/>
      </c>
      <c r="N191" s="89" t="str">
        <f aca="false">IF(Z191&lt;&gt;"Open","",IF(L191="","",IF(L191&lt;Settings!$C$13,"OVERDUE",IF(L191&lt;=Settings!$C$13+Settings!C9,"AT RISK","OK"))))</f>
        <v/>
      </c>
      <c r="O191" s="91"/>
      <c r="P191" s="89"/>
      <c r="Q191" s="93"/>
      <c r="R191" s="93"/>
      <c r="S191" s="93"/>
      <c r="T191" s="93" t="str">
        <f aca="false">IF(AND(Q191&gt;0,R191&gt;0),Q191-R191,"")</f>
        <v/>
      </c>
      <c r="U191" s="94" t="str">
        <f aca="false">IFERROR(IF(AND(Q191&gt;0,R191&gt;0),(Q191-R191)/Q191,""),"")</f>
        <v/>
      </c>
      <c r="V191" s="90"/>
      <c r="W191" s="92"/>
      <c r="X191" s="89" t="str">
        <f aca="false">IF(AND(K191&lt;&gt;"",W191&lt;&gt;""),W191-K191,"")</f>
        <v/>
      </c>
      <c r="Y191" s="89" t="str">
        <f aca="false">IF(AND(X191&lt;&gt;"",X191&gt;0),IF(X191&lt;=Settings!C8,"Yes","No"),"")</f>
        <v/>
      </c>
      <c r="Z191" s="91"/>
      <c r="AA191" s="95"/>
      <c r="AB191" s="88" t="str">
        <f aca="false">IF(Z191&lt;&gt;"Closed","",IF(P191&gt;=Settings!$C$10,"OK","LOW"))</f>
        <v/>
      </c>
    </row>
    <row r="192" customFormat="false" ht="15.75" hidden="false" customHeight="true" outlineLevel="0" collapsed="false">
      <c r="B192" s="81" t="str">
        <f aca="false">IF(C192&lt;&gt;"",ROW()-11,"")</f>
        <v/>
      </c>
      <c r="C192" s="82"/>
      <c r="D192" s="82"/>
      <c r="E192" s="82"/>
      <c r="F192" s="82"/>
      <c r="G192" s="82"/>
      <c r="H192" s="83"/>
      <c r="I192" s="83"/>
      <c r="J192" s="82"/>
      <c r="K192" s="84"/>
      <c r="L192" s="84"/>
      <c r="M192" s="81" t="str">
        <f aca="false">IF(AND(L192&lt;&gt;"",Z192="Open"),L192-Settings!$C$13,"")</f>
        <v/>
      </c>
      <c r="N192" s="81" t="str">
        <f aca="false">IF(Z192&lt;&gt;"Open","",IF(L192="","",IF(L192&lt;Settings!$C$13,"OVERDUE",IF(L192&lt;=Settings!$C$13+Settings!C9,"AT RISK","OK"))))</f>
        <v/>
      </c>
      <c r="O192" s="83"/>
      <c r="P192" s="81"/>
      <c r="Q192" s="85"/>
      <c r="R192" s="85"/>
      <c r="S192" s="85"/>
      <c r="T192" s="85" t="str">
        <f aca="false">IF(AND(Q192&gt;0,R192&gt;0),Q192-R192,"")</f>
        <v/>
      </c>
      <c r="U192" s="86" t="str">
        <f aca="false">IFERROR(IF(AND(Q192&gt;0,R192&gt;0),(Q192-R192)/Q192,""),"")</f>
        <v/>
      </c>
      <c r="V192" s="82"/>
      <c r="W192" s="84"/>
      <c r="X192" s="81" t="str">
        <f aca="false">IF(AND(K192&lt;&gt;"",W192&lt;&gt;""),W192-K192,"")</f>
        <v/>
      </c>
      <c r="Y192" s="81" t="str">
        <f aca="false">IF(AND(X192&lt;&gt;"",X192&gt;0),IF(X192&lt;=Settings!C8,"Yes","No"),"")</f>
        <v/>
      </c>
      <c r="Z192" s="83"/>
      <c r="AA192" s="87"/>
      <c r="AB192" s="88" t="str">
        <f aca="false">IF(Z192&lt;&gt;"Closed","",IF(P192&gt;=Settings!$C$10,"OK","LOW"))</f>
        <v/>
      </c>
    </row>
    <row r="193" customFormat="false" ht="15.75" hidden="false" customHeight="true" outlineLevel="0" collapsed="false">
      <c r="B193" s="89" t="str">
        <f aca="false">IF(C193&lt;&gt;"",ROW()-11,"")</f>
        <v/>
      </c>
      <c r="C193" s="90"/>
      <c r="D193" s="90"/>
      <c r="E193" s="90"/>
      <c r="F193" s="90"/>
      <c r="G193" s="90"/>
      <c r="H193" s="91"/>
      <c r="I193" s="91"/>
      <c r="J193" s="90"/>
      <c r="K193" s="92"/>
      <c r="L193" s="92"/>
      <c r="M193" s="89" t="str">
        <f aca="false">IF(AND(L193&lt;&gt;"",Z193="Open"),L193-Settings!$C$13,"")</f>
        <v/>
      </c>
      <c r="N193" s="89" t="str">
        <f aca="false">IF(Z193&lt;&gt;"Open","",IF(L193="","",IF(L193&lt;Settings!$C$13,"OVERDUE",IF(L193&lt;=Settings!$C$13+Settings!C9,"AT RISK","OK"))))</f>
        <v/>
      </c>
      <c r="O193" s="91"/>
      <c r="P193" s="89"/>
      <c r="Q193" s="93"/>
      <c r="R193" s="93"/>
      <c r="S193" s="93"/>
      <c r="T193" s="93" t="str">
        <f aca="false">IF(AND(Q193&gt;0,R193&gt;0),Q193-R193,"")</f>
        <v/>
      </c>
      <c r="U193" s="94" t="str">
        <f aca="false">IFERROR(IF(AND(Q193&gt;0,R193&gt;0),(Q193-R193)/Q193,""),"")</f>
        <v/>
      </c>
      <c r="V193" s="90"/>
      <c r="W193" s="92"/>
      <c r="X193" s="89" t="str">
        <f aca="false">IF(AND(K193&lt;&gt;"",W193&lt;&gt;""),W193-K193,"")</f>
        <v/>
      </c>
      <c r="Y193" s="89" t="str">
        <f aca="false">IF(AND(X193&lt;&gt;"",X193&gt;0),IF(X193&lt;=Settings!C8,"Yes","No"),"")</f>
        <v/>
      </c>
      <c r="Z193" s="91"/>
      <c r="AA193" s="95"/>
      <c r="AB193" s="88" t="str">
        <f aca="false">IF(Z193&lt;&gt;"Closed","",IF(P193&gt;=Settings!$C$10,"OK","LOW"))</f>
        <v/>
      </c>
    </row>
    <row r="194" customFormat="false" ht="15.75" hidden="false" customHeight="true" outlineLevel="0" collapsed="false">
      <c r="B194" s="81" t="str">
        <f aca="false">IF(C194&lt;&gt;"",ROW()-11,"")</f>
        <v/>
      </c>
      <c r="C194" s="82"/>
      <c r="D194" s="82"/>
      <c r="E194" s="82"/>
      <c r="F194" s="82"/>
      <c r="G194" s="82"/>
      <c r="H194" s="83"/>
      <c r="I194" s="83"/>
      <c r="J194" s="82"/>
      <c r="K194" s="84"/>
      <c r="L194" s="84"/>
      <c r="M194" s="81" t="str">
        <f aca="false">IF(AND(L194&lt;&gt;"",Z194="Open"),L194-Settings!$C$13,"")</f>
        <v/>
      </c>
      <c r="N194" s="81" t="str">
        <f aca="false">IF(Z194&lt;&gt;"Open","",IF(L194="","",IF(L194&lt;Settings!$C$13,"OVERDUE",IF(L194&lt;=Settings!$C$13+Settings!C9,"AT RISK","OK"))))</f>
        <v/>
      </c>
      <c r="O194" s="83"/>
      <c r="P194" s="81"/>
      <c r="Q194" s="85"/>
      <c r="R194" s="85"/>
      <c r="S194" s="85"/>
      <c r="T194" s="85" t="str">
        <f aca="false">IF(AND(Q194&gt;0,R194&gt;0),Q194-R194,"")</f>
        <v/>
      </c>
      <c r="U194" s="86" t="str">
        <f aca="false">IFERROR(IF(AND(Q194&gt;0,R194&gt;0),(Q194-R194)/Q194,""),"")</f>
        <v/>
      </c>
      <c r="V194" s="82"/>
      <c r="W194" s="84"/>
      <c r="X194" s="81" t="str">
        <f aca="false">IF(AND(K194&lt;&gt;"",W194&lt;&gt;""),W194-K194,"")</f>
        <v/>
      </c>
      <c r="Y194" s="81" t="str">
        <f aca="false">IF(AND(X194&lt;&gt;"",X194&gt;0),IF(X194&lt;=Settings!C8,"Yes","No"),"")</f>
        <v/>
      </c>
      <c r="Z194" s="83"/>
      <c r="AA194" s="87"/>
      <c r="AB194" s="88" t="str">
        <f aca="false">IF(Z194&lt;&gt;"Closed","",IF(P194&gt;=Settings!$C$10,"OK","LOW"))</f>
        <v/>
      </c>
    </row>
    <row r="195" customFormat="false" ht="15.75" hidden="false" customHeight="true" outlineLevel="0" collapsed="false">
      <c r="B195" s="89" t="str">
        <f aca="false">IF(C195&lt;&gt;"",ROW()-11,"")</f>
        <v/>
      </c>
      <c r="C195" s="90"/>
      <c r="D195" s="90"/>
      <c r="E195" s="90"/>
      <c r="F195" s="90"/>
      <c r="G195" s="90"/>
      <c r="H195" s="91"/>
      <c r="I195" s="91"/>
      <c r="J195" s="90"/>
      <c r="K195" s="92"/>
      <c r="L195" s="92"/>
      <c r="M195" s="89" t="str">
        <f aca="false">IF(AND(L195&lt;&gt;"",Z195="Open"),L195-Settings!$C$13,"")</f>
        <v/>
      </c>
      <c r="N195" s="89" t="str">
        <f aca="false">IF(Z195&lt;&gt;"Open","",IF(L195="","",IF(L195&lt;Settings!$C$13,"OVERDUE",IF(L195&lt;=Settings!$C$13+Settings!C9,"AT RISK","OK"))))</f>
        <v/>
      </c>
      <c r="O195" s="91"/>
      <c r="P195" s="89"/>
      <c r="Q195" s="93"/>
      <c r="R195" s="93"/>
      <c r="S195" s="93"/>
      <c r="T195" s="93" t="str">
        <f aca="false">IF(AND(Q195&gt;0,R195&gt;0),Q195-R195,"")</f>
        <v/>
      </c>
      <c r="U195" s="94" t="str">
        <f aca="false">IFERROR(IF(AND(Q195&gt;0,R195&gt;0),(Q195-R195)/Q195,""),"")</f>
        <v/>
      </c>
      <c r="V195" s="90"/>
      <c r="W195" s="92"/>
      <c r="X195" s="89" t="str">
        <f aca="false">IF(AND(K195&lt;&gt;"",W195&lt;&gt;""),W195-K195,"")</f>
        <v/>
      </c>
      <c r="Y195" s="89" t="str">
        <f aca="false">IF(AND(X195&lt;&gt;"",X195&gt;0),IF(X195&lt;=Settings!C8,"Yes","No"),"")</f>
        <v/>
      </c>
      <c r="Z195" s="91"/>
      <c r="AA195" s="95"/>
      <c r="AB195" s="88" t="str">
        <f aca="false">IF(Z195&lt;&gt;"Closed","",IF(P195&gt;=Settings!$C$10,"OK","LOW"))</f>
        <v/>
      </c>
    </row>
    <row r="196" customFormat="false" ht="15.75" hidden="false" customHeight="true" outlineLevel="0" collapsed="false">
      <c r="B196" s="81" t="str">
        <f aca="false">IF(C196&lt;&gt;"",ROW()-11,"")</f>
        <v/>
      </c>
      <c r="C196" s="82"/>
      <c r="D196" s="82"/>
      <c r="E196" s="82"/>
      <c r="F196" s="82"/>
      <c r="G196" s="82"/>
      <c r="H196" s="83"/>
      <c r="I196" s="83"/>
      <c r="J196" s="82"/>
      <c r="K196" s="84"/>
      <c r="L196" s="84"/>
      <c r="M196" s="81" t="str">
        <f aca="false">IF(AND(L196&lt;&gt;"",Z196="Open"),L196-Settings!$C$13,"")</f>
        <v/>
      </c>
      <c r="N196" s="81" t="str">
        <f aca="false">IF(Z196&lt;&gt;"Open","",IF(L196="","",IF(L196&lt;Settings!$C$13,"OVERDUE",IF(L196&lt;=Settings!$C$13+Settings!C9,"AT RISK","OK"))))</f>
        <v/>
      </c>
      <c r="O196" s="83"/>
      <c r="P196" s="81"/>
      <c r="Q196" s="85"/>
      <c r="R196" s="85"/>
      <c r="S196" s="85"/>
      <c r="T196" s="85" t="str">
        <f aca="false">IF(AND(Q196&gt;0,R196&gt;0),Q196-R196,"")</f>
        <v/>
      </c>
      <c r="U196" s="86" t="str">
        <f aca="false">IFERROR(IF(AND(Q196&gt;0,R196&gt;0),(Q196-R196)/Q196,""),"")</f>
        <v/>
      </c>
      <c r="V196" s="82"/>
      <c r="W196" s="84"/>
      <c r="X196" s="81" t="str">
        <f aca="false">IF(AND(K196&lt;&gt;"",W196&lt;&gt;""),W196-K196,"")</f>
        <v/>
      </c>
      <c r="Y196" s="81" t="str">
        <f aca="false">IF(AND(X196&lt;&gt;"",X196&gt;0),IF(X196&lt;=Settings!C8,"Yes","No"),"")</f>
        <v/>
      </c>
      <c r="Z196" s="83"/>
      <c r="AA196" s="87"/>
      <c r="AB196" s="88" t="str">
        <f aca="false">IF(Z196&lt;&gt;"Closed","",IF(P196&gt;=Settings!$C$10,"OK","LOW"))</f>
        <v/>
      </c>
    </row>
    <row r="197" customFormat="false" ht="15.75" hidden="false" customHeight="true" outlineLevel="0" collapsed="false">
      <c r="B197" s="89" t="str">
        <f aca="false">IF(C197&lt;&gt;"",ROW()-11,"")</f>
        <v/>
      </c>
      <c r="C197" s="90"/>
      <c r="D197" s="90"/>
      <c r="E197" s="90"/>
      <c r="F197" s="90"/>
      <c r="G197" s="90"/>
      <c r="H197" s="91"/>
      <c r="I197" s="91"/>
      <c r="J197" s="90"/>
      <c r="K197" s="92"/>
      <c r="L197" s="92"/>
      <c r="M197" s="89" t="str">
        <f aca="false">IF(AND(L197&lt;&gt;"",Z197="Open"),L197-Settings!$C$13,"")</f>
        <v/>
      </c>
      <c r="N197" s="89" t="str">
        <f aca="false">IF(Z197&lt;&gt;"Open","",IF(L197="","",IF(L197&lt;Settings!$C$13,"OVERDUE",IF(L197&lt;=Settings!$C$13+Settings!C9,"AT RISK","OK"))))</f>
        <v/>
      </c>
      <c r="O197" s="91"/>
      <c r="P197" s="89"/>
      <c r="Q197" s="93"/>
      <c r="R197" s="93"/>
      <c r="S197" s="93"/>
      <c r="T197" s="93" t="str">
        <f aca="false">IF(AND(Q197&gt;0,R197&gt;0),Q197-R197,"")</f>
        <v/>
      </c>
      <c r="U197" s="94" t="str">
        <f aca="false">IFERROR(IF(AND(Q197&gt;0,R197&gt;0),(Q197-R197)/Q197,""),"")</f>
        <v/>
      </c>
      <c r="V197" s="90"/>
      <c r="W197" s="92"/>
      <c r="X197" s="89" t="str">
        <f aca="false">IF(AND(K197&lt;&gt;"",W197&lt;&gt;""),W197-K197,"")</f>
        <v/>
      </c>
      <c r="Y197" s="89" t="str">
        <f aca="false">IF(AND(X197&lt;&gt;"",X197&gt;0),IF(X197&lt;=Settings!C8,"Yes","No"),"")</f>
        <v/>
      </c>
      <c r="Z197" s="91"/>
      <c r="AA197" s="95"/>
      <c r="AB197" s="88" t="str">
        <f aca="false">IF(Z197&lt;&gt;"Closed","",IF(P197&gt;=Settings!$C$10,"OK","LOW"))</f>
        <v/>
      </c>
    </row>
    <row r="198" customFormat="false" ht="15.75" hidden="false" customHeight="true" outlineLevel="0" collapsed="false">
      <c r="B198" s="81" t="str">
        <f aca="false">IF(C198&lt;&gt;"",ROW()-11,"")</f>
        <v/>
      </c>
      <c r="C198" s="82"/>
      <c r="D198" s="82"/>
      <c r="E198" s="82"/>
      <c r="F198" s="82"/>
      <c r="G198" s="82"/>
      <c r="H198" s="83"/>
      <c r="I198" s="83"/>
      <c r="J198" s="82"/>
      <c r="K198" s="84"/>
      <c r="L198" s="84"/>
      <c r="M198" s="81" t="str">
        <f aca="false">IF(AND(L198&lt;&gt;"",Z198="Open"),L198-Settings!$C$13,"")</f>
        <v/>
      </c>
      <c r="N198" s="81" t="str">
        <f aca="false">IF(Z198&lt;&gt;"Open","",IF(L198="","",IF(L198&lt;Settings!$C$13,"OVERDUE",IF(L198&lt;=Settings!$C$13+Settings!C9,"AT RISK","OK"))))</f>
        <v/>
      </c>
      <c r="O198" s="83"/>
      <c r="P198" s="81"/>
      <c r="Q198" s="85"/>
      <c r="R198" s="85"/>
      <c r="S198" s="85"/>
      <c r="T198" s="85" t="str">
        <f aca="false">IF(AND(Q198&gt;0,R198&gt;0),Q198-R198,"")</f>
        <v/>
      </c>
      <c r="U198" s="86" t="str">
        <f aca="false">IFERROR(IF(AND(Q198&gt;0,R198&gt;0),(Q198-R198)/Q198,""),"")</f>
        <v/>
      </c>
      <c r="V198" s="82"/>
      <c r="W198" s="84"/>
      <c r="X198" s="81" t="str">
        <f aca="false">IF(AND(K198&lt;&gt;"",W198&lt;&gt;""),W198-K198,"")</f>
        <v/>
      </c>
      <c r="Y198" s="81" t="str">
        <f aca="false">IF(AND(X198&lt;&gt;"",X198&gt;0),IF(X198&lt;=Settings!C8,"Yes","No"),"")</f>
        <v/>
      </c>
      <c r="Z198" s="83"/>
      <c r="AA198" s="87"/>
      <c r="AB198" s="88" t="str">
        <f aca="false">IF(Z198&lt;&gt;"Closed","",IF(P198&gt;=Settings!$C$10,"OK","LOW"))</f>
        <v/>
      </c>
    </row>
    <row r="199" customFormat="false" ht="15.75" hidden="false" customHeight="true" outlineLevel="0" collapsed="false">
      <c r="B199" s="89" t="str">
        <f aca="false">IF(C199&lt;&gt;"",ROW()-11,"")</f>
        <v/>
      </c>
      <c r="C199" s="90"/>
      <c r="D199" s="90"/>
      <c r="E199" s="90"/>
      <c r="F199" s="90"/>
      <c r="G199" s="90"/>
      <c r="H199" s="91"/>
      <c r="I199" s="91"/>
      <c r="J199" s="90"/>
      <c r="K199" s="92"/>
      <c r="L199" s="92"/>
      <c r="M199" s="89" t="str">
        <f aca="false">IF(AND(L199&lt;&gt;"",Z199="Open"),L199-Settings!$C$13,"")</f>
        <v/>
      </c>
      <c r="N199" s="89" t="str">
        <f aca="false">IF(Z199&lt;&gt;"Open","",IF(L199="","",IF(L199&lt;Settings!$C$13,"OVERDUE",IF(L199&lt;=Settings!$C$13+Settings!C9,"AT RISK","OK"))))</f>
        <v/>
      </c>
      <c r="O199" s="91"/>
      <c r="P199" s="89"/>
      <c r="Q199" s="93"/>
      <c r="R199" s="93"/>
      <c r="S199" s="93"/>
      <c r="T199" s="93" t="str">
        <f aca="false">IF(AND(Q199&gt;0,R199&gt;0),Q199-R199,"")</f>
        <v/>
      </c>
      <c r="U199" s="94" t="str">
        <f aca="false">IFERROR(IF(AND(Q199&gt;0,R199&gt;0),(Q199-R199)/Q199,""),"")</f>
        <v/>
      </c>
      <c r="V199" s="90"/>
      <c r="W199" s="92"/>
      <c r="X199" s="89" t="str">
        <f aca="false">IF(AND(K199&lt;&gt;"",W199&lt;&gt;""),W199-K199,"")</f>
        <v/>
      </c>
      <c r="Y199" s="89" t="str">
        <f aca="false">IF(AND(X199&lt;&gt;"",X199&gt;0),IF(X199&lt;=Settings!C8,"Yes","No"),"")</f>
        <v/>
      </c>
      <c r="Z199" s="91"/>
      <c r="AA199" s="95"/>
      <c r="AB199" s="88" t="str">
        <f aca="false">IF(Z199&lt;&gt;"Closed","",IF(P199&gt;=Settings!$C$10,"OK","LOW"))</f>
        <v/>
      </c>
    </row>
    <row r="200" customFormat="false" ht="15.75" hidden="false" customHeight="true" outlineLevel="0" collapsed="false">
      <c r="B200" s="81" t="str">
        <f aca="false">IF(C200&lt;&gt;"",ROW()-11,"")</f>
        <v/>
      </c>
      <c r="C200" s="82"/>
      <c r="D200" s="82"/>
      <c r="E200" s="82"/>
      <c r="F200" s="82"/>
      <c r="G200" s="82"/>
      <c r="H200" s="83"/>
      <c r="I200" s="83"/>
      <c r="J200" s="82"/>
      <c r="K200" s="84"/>
      <c r="L200" s="84"/>
      <c r="M200" s="81" t="str">
        <f aca="false">IF(AND(L200&lt;&gt;"",Z200="Open"),L200-Settings!$C$13,"")</f>
        <v/>
      </c>
      <c r="N200" s="81" t="str">
        <f aca="false">IF(Z200&lt;&gt;"Open","",IF(L200="","",IF(L200&lt;Settings!$C$13,"OVERDUE",IF(L200&lt;=Settings!$C$13+Settings!C9,"AT RISK","OK"))))</f>
        <v/>
      </c>
      <c r="O200" s="83"/>
      <c r="P200" s="81"/>
      <c r="Q200" s="85"/>
      <c r="R200" s="85"/>
      <c r="S200" s="85"/>
      <c r="T200" s="85" t="str">
        <f aca="false">IF(AND(Q200&gt;0,R200&gt;0),Q200-R200,"")</f>
        <v/>
      </c>
      <c r="U200" s="86" t="str">
        <f aca="false">IFERROR(IF(AND(Q200&gt;0,R200&gt;0),(Q200-R200)/Q200,""),"")</f>
        <v/>
      </c>
      <c r="V200" s="82"/>
      <c r="W200" s="84"/>
      <c r="X200" s="81" t="str">
        <f aca="false">IF(AND(K200&lt;&gt;"",W200&lt;&gt;""),W200-K200,"")</f>
        <v/>
      </c>
      <c r="Y200" s="81" t="str">
        <f aca="false">IF(AND(X200&lt;&gt;"",X200&gt;0),IF(X200&lt;=Settings!C8,"Yes","No"),"")</f>
        <v/>
      </c>
      <c r="Z200" s="83"/>
      <c r="AA200" s="87"/>
      <c r="AB200" s="88" t="str">
        <f aca="false">IF(Z200&lt;&gt;"Closed","",IF(P200&gt;=Settings!$C$10,"OK","LOW"))</f>
        <v/>
      </c>
    </row>
    <row r="201" customFormat="false" ht="15.75" hidden="false" customHeight="true" outlineLevel="0" collapsed="false">
      <c r="B201" s="89" t="str">
        <f aca="false">IF(C201&lt;&gt;"",ROW()-11,"")</f>
        <v/>
      </c>
      <c r="C201" s="90"/>
      <c r="D201" s="90"/>
      <c r="E201" s="90"/>
      <c r="F201" s="90"/>
      <c r="G201" s="90"/>
      <c r="H201" s="91"/>
      <c r="I201" s="91"/>
      <c r="J201" s="90"/>
      <c r="K201" s="92"/>
      <c r="L201" s="92"/>
      <c r="M201" s="89" t="str">
        <f aca="false">IF(AND(L201&lt;&gt;"",Z201="Open"),L201-Settings!$C$13,"")</f>
        <v/>
      </c>
      <c r="N201" s="89" t="str">
        <f aca="false">IF(Z201&lt;&gt;"Open","",IF(L201="","",IF(L201&lt;Settings!$C$13,"OVERDUE",IF(L201&lt;=Settings!$C$13+Settings!C9,"AT RISK","OK"))))</f>
        <v/>
      </c>
      <c r="O201" s="91"/>
      <c r="P201" s="89"/>
      <c r="Q201" s="93"/>
      <c r="R201" s="93"/>
      <c r="S201" s="93"/>
      <c r="T201" s="93" t="str">
        <f aca="false">IF(AND(Q201&gt;0,R201&gt;0),Q201-R201,"")</f>
        <v/>
      </c>
      <c r="U201" s="94" t="str">
        <f aca="false">IFERROR(IF(AND(Q201&gt;0,R201&gt;0),(Q201-R201)/Q201,""),"")</f>
        <v/>
      </c>
      <c r="V201" s="90"/>
      <c r="W201" s="92"/>
      <c r="X201" s="89" t="str">
        <f aca="false">IF(AND(K201&lt;&gt;"",W201&lt;&gt;""),W201-K201,"")</f>
        <v/>
      </c>
      <c r="Y201" s="89" t="str">
        <f aca="false">IF(AND(X201&lt;&gt;"",X201&gt;0),IF(X201&lt;=Settings!C8,"Yes","No"),"")</f>
        <v/>
      </c>
      <c r="Z201" s="91"/>
      <c r="AA201" s="95"/>
      <c r="AB201" s="88" t="str">
        <f aca="false">IF(Z201&lt;&gt;"Closed","",IF(P201&gt;=Settings!$C$10,"OK","LOW"))</f>
        <v/>
      </c>
    </row>
    <row r="202" customFormat="false" ht="15.75" hidden="false" customHeight="true" outlineLevel="0" collapsed="false">
      <c r="B202" s="81" t="str">
        <f aca="false">IF(C202&lt;&gt;"",ROW()-11,"")</f>
        <v/>
      </c>
      <c r="C202" s="82"/>
      <c r="D202" s="82"/>
      <c r="E202" s="82"/>
      <c r="F202" s="82"/>
      <c r="G202" s="82"/>
      <c r="H202" s="83"/>
      <c r="I202" s="83"/>
      <c r="J202" s="82"/>
      <c r="K202" s="84"/>
      <c r="L202" s="84"/>
      <c r="M202" s="81" t="str">
        <f aca="false">IF(AND(L202&lt;&gt;"",Z202="Open"),L202-Settings!$C$13,"")</f>
        <v/>
      </c>
      <c r="N202" s="81" t="str">
        <f aca="false">IF(Z202&lt;&gt;"Open","",IF(L202="","",IF(L202&lt;Settings!$C$13,"OVERDUE",IF(L202&lt;=Settings!$C$13+Settings!C9,"AT RISK","OK"))))</f>
        <v/>
      </c>
      <c r="O202" s="83"/>
      <c r="P202" s="81"/>
      <c r="Q202" s="85"/>
      <c r="R202" s="85"/>
      <c r="S202" s="85"/>
      <c r="T202" s="85" t="str">
        <f aca="false">IF(AND(Q202&gt;0,R202&gt;0),Q202-R202,"")</f>
        <v/>
      </c>
      <c r="U202" s="86" t="str">
        <f aca="false">IFERROR(IF(AND(Q202&gt;0,R202&gt;0),(Q202-R202)/Q202,""),"")</f>
        <v/>
      </c>
      <c r="V202" s="82"/>
      <c r="W202" s="84"/>
      <c r="X202" s="81" t="str">
        <f aca="false">IF(AND(K202&lt;&gt;"",W202&lt;&gt;""),W202-K202,"")</f>
        <v/>
      </c>
      <c r="Y202" s="81" t="str">
        <f aca="false">IF(AND(X202&lt;&gt;"",X202&gt;0),IF(X202&lt;=Settings!C8,"Yes","No"),"")</f>
        <v/>
      </c>
      <c r="Z202" s="83"/>
      <c r="AA202" s="87"/>
      <c r="AB202" s="88" t="str">
        <f aca="false">IF(Z202&lt;&gt;"Closed","",IF(P202&gt;=Settings!$C$10,"OK","LOW"))</f>
        <v/>
      </c>
    </row>
    <row r="203" customFormat="false" ht="15.75" hidden="false" customHeight="true" outlineLevel="0" collapsed="false">
      <c r="B203" s="89" t="str">
        <f aca="false">IF(C203&lt;&gt;"",ROW()-11,"")</f>
        <v/>
      </c>
      <c r="C203" s="90"/>
      <c r="D203" s="90"/>
      <c r="E203" s="90"/>
      <c r="F203" s="90"/>
      <c r="G203" s="90"/>
      <c r="H203" s="91"/>
      <c r="I203" s="91"/>
      <c r="J203" s="90"/>
      <c r="K203" s="92"/>
      <c r="L203" s="92"/>
      <c r="M203" s="89" t="str">
        <f aca="false">IF(AND(L203&lt;&gt;"",Z203="Open"),L203-Settings!$C$13,"")</f>
        <v/>
      </c>
      <c r="N203" s="89" t="str">
        <f aca="false">IF(Z203&lt;&gt;"Open","",IF(L203="","",IF(L203&lt;Settings!$C$13,"OVERDUE",IF(L203&lt;=Settings!$C$13+Settings!C9,"AT RISK","OK"))))</f>
        <v/>
      </c>
      <c r="O203" s="91"/>
      <c r="P203" s="89"/>
      <c r="Q203" s="93"/>
      <c r="R203" s="93"/>
      <c r="S203" s="93"/>
      <c r="T203" s="93" t="str">
        <f aca="false">IF(AND(Q203&gt;0,R203&gt;0),Q203-R203,"")</f>
        <v/>
      </c>
      <c r="U203" s="94" t="str">
        <f aca="false">IFERROR(IF(AND(Q203&gt;0,R203&gt;0),(Q203-R203)/Q203,""),"")</f>
        <v/>
      </c>
      <c r="V203" s="90"/>
      <c r="W203" s="92"/>
      <c r="X203" s="89" t="str">
        <f aca="false">IF(AND(K203&lt;&gt;"",W203&lt;&gt;""),W203-K203,"")</f>
        <v/>
      </c>
      <c r="Y203" s="89" t="str">
        <f aca="false">IF(AND(X203&lt;&gt;"",X203&gt;0),IF(X203&lt;=Settings!C8,"Yes","No"),"")</f>
        <v/>
      </c>
      <c r="Z203" s="91"/>
      <c r="AA203" s="95"/>
      <c r="AB203" s="88" t="str">
        <f aca="false">IF(Z203&lt;&gt;"Closed","",IF(P203&gt;=Settings!$C$10,"OK","LOW"))</f>
        <v/>
      </c>
    </row>
    <row r="204" customFormat="false" ht="15.75" hidden="false" customHeight="true" outlineLevel="0" collapsed="false">
      <c r="B204" s="81" t="str">
        <f aca="false">IF(C204&lt;&gt;"",ROW()-11,"")</f>
        <v/>
      </c>
      <c r="C204" s="82"/>
      <c r="D204" s="82"/>
      <c r="E204" s="82"/>
      <c r="F204" s="82"/>
      <c r="G204" s="82"/>
      <c r="H204" s="83"/>
      <c r="I204" s="83"/>
      <c r="J204" s="82"/>
      <c r="K204" s="84"/>
      <c r="L204" s="84"/>
      <c r="M204" s="81" t="str">
        <f aca="false">IF(AND(L204&lt;&gt;"",Z204="Open"),L204-Settings!$C$13,"")</f>
        <v/>
      </c>
      <c r="N204" s="81" t="str">
        <f aca="false">IF(Z204&lt;&gt;"Open","",IF(L204="","",IF(L204&lt;Settings!$C$13,"OVERDUE",IF(L204&lt;=Settings!$C$13+Settings!C9,"AT RISK","OK"))))</f>
        <v/>
      </c>
      <c r="O204" s="83"/>
      <c r="P204" s="81"/>
      <c r="Q204" s="85"/>
      <c r="R204" s="85"/>
      <c r="S204" s="85"/>
      <c r="T204" s="85" t="str">
        <f aca="false">IF(AND(Q204&gt;0,R204&gt;0),Q204-R204,"")</f>
        <v/>
      </c>
      <c r="U204" s="86" t="str">
        <f aca="false">IFERROR(IF(AND(Q204&gt;0,R204&gt;0),(Q204-R204)/Q204,""),"")</f>
        <v/>
      </c>
      <c r="V204" s="82"/>
      <c r="W204" s="84"/>
      <c r="X204" s="81" t="str">
        <f aca="false">IF(AND(K204&lt;&gt;"",W204&lt;&gt;""),W204-K204,"")</f>
        <v/>
      </c>
      <c r="Y204" s="81" t="str">
        <f aca="false">IF(AND(X204&lt;&gt;"",X204&gt;0),IF(X204&lt;=Settings!C8,"Yes","No"),"")</f>
        <v/>
      </c>
      <c r="Z204" s="83"/>
      <c r="AA204" s="87"/>
      <c r="AB204" s="88" t="str">
        <f aca="false">IF(Z204&lt;&gt;"Closed","",IF(P204&gt;=Settings!$C$10,"OK","LOW"))</f>
        <v/>
      </c>
    </row>
    <row r="205" customFormat="false" ht="15.75" hidden="false" customHeight="true" outlineLevel="0" collapsed="false">
      <c r="B205" s="89" t="str">
        <f aca="false">IF(C205&lt;&gt;"",ROW()-11,"")</f>
        <v/>
      </c>
      <c r="C205" s="90"/>
      <c r="D205" s="90"/>
      <c r="E205" s="90"/>
      <c r="F205" s="90"/>
      <c r="G205" s="90"/>
      <c r="H205" s="91"/>
      <c r="I205" s="91"/>
      <c r="J205" s="90"/>
      <c r="K205" s="92"/>
      <c r="L205" s="92"/>
      <c r="M205" s="89" t="str">
        <f aca="false">IF(AND(L205&lt;&gt;"",Z205="Open"),L205-Settings!$C$13,"")</f>
        <v/>
      </c>
      <c r="N205" s="89" t="str">
        <f aca="false">IF(Z205&lt;&gt;"Open","",IF(L205="","",IF(L205&lt;Settings!$C$13,"OVERDUE",IF(L205&lt;=Settings!$C$13+Settings!C9,"AT RISK","OK"))))</f>
        <v/>
      </c>
      <c r="O205" s="91"/>
      <c r="P205" s="89"/>
      <c r="Q205" s="93"/>
      <c r="R205" s="93"/>
      <c r="S205" s="93"/>
      <c r="T205" s="93" t="str">
        <f aca="false">IF(AND(Q205&gt;0,R205&gt;0),Q205-R205,"")</f>
        <v/>
      </c>
      <c r="U205" s="94" t="str">
        <f aca="false">IFERROR(IF(AND(Q205&gt;0,R205&gt;0),(Q205-R205)/Q205,""),"")</f>
        <v/>
      </c>
      <c r="V205" s="90"/>
      <c r="W205" s="92"/>
      <c r="X205" s="89" t="str">
        <f aca="false">IF(AND(K205&lt;&gt;"",W205&lt;&gt;""),W205-K205,"")</f>
        <v/>
      </c>
      <c r="Y205" s="89" t="str">
        <f aca="false">IF(AND(X205&lt;&gt;"",X205&gt;0),IF(X205&lt;=Settings!C8,"Yes","No"),"")</f>
        <v/>
      </c>
      <c r="Z205" s="91"/>
      <c r="AA205" s="95"/>
      <c r="AB205" s="88" t="str">
        <f aca="false">IF(Z205&lt;&gt;"Closed","",IF(P205&gt;=Settings!$C$10,"OK","LOW"))</f>
        <v/>
      </c>
    </row>
    <row r="206" customFormat="false" ht="15.75" hidden="false" customHeight="true" outlineLevel="0" collapsed="false">
      <c r="B206" s="81" t="str">
        <f aca="false">IF(C206&lt;&gt;"",ROW()-11,"")</f>
        <v/>
      </c>
      <c r="C206" s="82"/>
      <c r="D206" s="82"/>
      <c r="E206" s="82"/>
      <c r="F206" s="82"/>
      <c r="G206" s="82"/>
      <c r="H206" s="83"/>
      <c r="I206" s="83"/>
      <c r="J206" s="82"/>
      <c r="K206" s="84"/>
      <c r="L206" s="84"/>
      <c r="M206" s="81" t="str">
        <f aca="false">IF(AND(L206&lt;&gt;"",Z206="Open"),L206-Settings!$C$13,"")</f>
        <v/>
      </c>
      <c r="N206" s="81" t="str">
        <f aca="false">IF(Z206&lt;&gt;"Open","",IF(L206="","",IF(L206&lt;Settings!$C$13,"OVERDUE",IF(L206&lt;=Settings!$C$13+Settings!C9,"AT RISK","OK"))))</f>
        <v/>
      </c>
      <c r="O206" s="83"/>
      <c r="P206" s="81"/>
      <c r="Q206" s="85"/>
      <c r="R206" s="85"/>
      <c r="S206" s="85"/>
      <c r="T206" s="85" t="str">
        <f aca="false">IF(AND(Q206&gt;0,R206&gt;0),Q206-R206,"")</f>
        <v/>
      </c>
      <c r="U206" s="86" t="str">
        <f aca="false">IFERROR(IF(AND(Q206&gt;0,R206&gt;0),(Q206-R206)/Q206,""),"")</f>
        <v/>
      </c>
      <c r="V206" s="82"/>
      <c r="W206" s="84"/>
      <c r="X206" s="81" t="str">
        <f aca="false">IF(AND(K206&lt;&gt;"",W206&lt;&gt;""),W206-K206,"")</f>
        <v/>
      </c>
      <c r="Y206" s="81" t="str">
        <f aca="false">IF(AND(X206&lt;&gt;"",X206&gt;0),IF(X206&lt;=Settings!C8,"Yes","No"),"")</f>
        <v/>
      </c>
      <c r="Z206" s="83"/>
      <c r="AA206" s="87"/>
      <c r="AB206" s="88" t="str">
        <f aca="false">IF(Z206&lt;&gt;"Closed","",IF(P206&gt;=Settings!$C$10,"OK","LOW"))</f>
        <v/>
      </c>
    </row>
    <row r="207" customFormat="false" ht="15.75" hidden="false" customHeight="true" outlineLevel="0" collapsed="false">
      <c r="B207" s="89" t="str">
        <f aca="false">IF(C207&lt;&gt;"",ROW()-11,"")</f>
        <v/>
      </c>
      <c r="C207" s="90"/>
      <c r="D207" s="90"/>
      <c r="E207" s="90"/>
      <c r="F207" s="90"/>
      <c r="G207" s="90"/>
      <c r="H207" s="91"/>
      <c r="I207" s="91"/>
      <c r="J207" s="90"/>
      <c r="K207" s="92"/>
      <c r="L207" s="92"/>
      <c r="M207" s="89" t="str">
        <f aca="false">IF(AND(L207&lt;&gt;"",Z207="Open"),L207-Settings!$C$13,"")</f>
        <v/>
      </c>
      <c r="N207" s="89" t="str">
        <f aca="false">IF(Z207&lt;&gt;"Open","",IF(L207="","",IF(L207&lt;Settings!$C$13,"OVERDUE",IF(L207&lt;=Settings!$C$13+Settings!C9,"AT RISK","OK"))))</f>
        <v/>
      </c>
      <c r="O207" s="91"/>
      <c r="P207" s="89"/>
      <c r="Q207" s="93"/>
      <c r="R207" s="93"/>
      <c r="S207" s="93"/>
      <c r="T207" s="93" t="str">
        <f aca="false">IF(AND(Q207&gt;0,R207&gt;0),Q207-R207,"")</f>
        <v/>
      </c>
      <c r="U207" s="94" t="str">
        <f aca="false">IFERROR(IF(AND(Q207&gt;0,R207&gt;0),(Q207-R207)/Q207,""),"")</f>
        <v/>
      </c>
      <c r="V207" s="90"/>
      <c r="W207" s="92"/>
      <c r="X207" s="89" t="str">
        <f aca="false">IF(AND(K207&lt;&gt;"",W207&lt;&gt;""),W207-K207,"")</f>
        <v/>
      </c>
      <c r="Y207" s="89" t="str">
        <f aca="false">IF(AND(X207&lt;&gt;"",X207&gt;0),IF(X207&lt;=Settings!C8,"Yes","No"),"")</f>
        <v/>
      </c>
      <c r="Z207" s="91"/>
      <c r="AA207" s="95"/>
      <c r="AB207" s="88" t="str">
        <f aca="false">IF(Z207&lt;&gt;"Closed","",IF(P207&gt;=Settings!$C$10,"OK","LOW"))</f>
        <v/>
      </c>
    </row>
    <row r="208" customFormat="false" ht="15.75" hidden="false" customHeight="true" outlineLevel="0" collapsed="false">
      <c r="B208" s="81" t="str">
        <f aca="false">IF(C208&lt;&gt;"",ROW()-11,"")</f>
        <v/>
      </c>
      <c r="C208" s="82"/>
      <c r="D208" s="82"/>
      <c r="E208" s="82"/>
      <c r="F208" s="82"/>
      <c r="G208" s="82"/>
      <c r="H208" s="83"/>
      <c r="I208" s="83"/>
      <c r="J208" s="82"/>
      <c r="K208" s="84"/>
      <c r="L208" s="84"/>
      <c r="M208" s="81" t="str">
        <f aca="false">IF(AND(L208&lt;&gt;"",Z208="Open"),L208-Settings!$C$13,"")</f>
        <v/>
      </c>
      <c r="N208" s="81" t="str">
        <f aca="false">IF(Z208&lt;&gt;"Open","",IF(L208="","",IF(L208&lt;Settings!$C$13,"OVERDUE",IF(L208&lt;=Settings!$C$13+Settings!C9,"AT RISK","OK"))))</f>
        <v/>
      </c>
      <c r="O208" s="83"/>
      <c r="P208" s="81"/>
      <c r="Q208" s="85"/>
      <c r="R208" s="85"/>
      <c r="S208" s="85"/>
      <c r="T208" s="85" t="str">
        <f aca="false">IF(AND(Q208&gt;0,R208&gt;0),Q208-R208,"")</f>
        <v/>
      </c>
      <c r="U208" s="86" t="str">
        <f aca="false">IFERROR(IF(AND(Q208&gt;0,R208&gt;0),(Q208-R208)/Q208,""),"")</f>
        <v/>
      </c>
      <c r="V208" s="82"/>
      <c r="W208" s="84"/>
      <c r="X208" s="81" t="str">
        <f aca="false">IF(AND(K208&lt;&gt;"",W208&lt;&gt;""),W208-K208,"")</f>
        <v/>
      </c>
      <c r="Y208" s="81" t="str">
        <f aca="false">IF(AND(X208&lt;&gt;"",X208&gt;0),IF(X208&lt;=Settings!C8,"Yes","No"),"")</f>
        <v/>
      </c>
      <c r="Z208" s="83"/>
      <c r="AA208" s="87"/>
      <c r="AB208" s="88" t="str">
        <f aca="false">IF(Z208&lt;&gt;"Closed","",IF(P208&gt;=Settings!$C$10,"OK","LOW"))</f>
        <v/>
      </c>
    </row>
    <row r="209" customFormat="false" ht="15.75" hidden="false" customHeight="true" outlineLevel="0" collapsed="false">
      <c r="B209" s="89" t="str">
        <f aca="false">IF(C209&lt;&gt;"",ROW()-11,"")</f>
        <v/>
      </c>
      <c r="C209" s="90"/>
      <c r="D209" s="90"/>
      <c r="E209" s="90"/>
      <c r="F209" s="90"/>
      <c r="G209" s="90"/>
      <c r="H209" s="91"/>
      <c r="I209" s="91"/>
      <c r="J209" s="90"/>
      <c r="K209" s="92"/>
      <c r="L209" s="92"/>
      <c r="M209" s="89" t="str">
        <f aca="false">IF(AND(L209&lt;&gt;"",Z209="Open"),L209-Settings!$C$13,"")</f>
        <v/>
      </c>
      <c r="N209" s="89" t="str">
        <f aca="false">IF(Z209&lt;&gt;"Open","",IF(L209="","",IF(L209&lt;Settings!$C$13,"OVERDUE",IF(L209&lt;=Settings!$C$13+Settings!C9,"AT RISK","OK"))))</f>
        <v/>
      </c>
      <c r="O209" s="91"/>
      <c r="P209" s="89"/>
      <c r="Q209" s="93"/>
      <c r="R209" s="93"/>
      <c r="S209" s="93"/>
      <c r="T209" s="93" t="str">
        <f aca="false">IF(AND(Q209&gt;0,R209&gt;0),Q209-R209,"")</f>
        <v/>
      </c>
      <c r="U209" s="94" t="str">
        <f aca="false">IFERROR(IF(AND(Q209&gt;0,R209&gt;0),(Q209-R209)/Q209,""),"")</f>
        <v/>
      </c>
      <c r="V209" s="90"/>
      <c r="W209" s="92"/>
      <c r="X209" s="89" t="str">
        <f aca="false">IF(AND(K209&lt;&gt;"",W209&lt;&gt;""),W209-K209,"")</f>
        <v/>
      </c>
      <c r="Y209" s="89" t="str">
        <f aca="false">IF(AND(X209&lt;&gt;"",X209&gt;0),IF(X209&lt;=Settings!C8,"Yes","No"),"")</f>
        <v/>
      </c>
      <c r="Z209" s="91"/>
      <c r="AA209" s="95"/>
      <c r="AB209" s="88" t="str">
        <f aca="false">IF(Z209&lt;&gt;"Closed","",IF(P209&gt;=Settings!$C$10,"OK","LOW"))</f>
        <v/>
      </c>
    </row>
    <row r="210" customFormat="false" ht="15.75" hidden="false" customHeight="true" outlineLevel="0" collapsed="false">
      <c r="B210" s="81" t="str">
        <f aca="false">IF(C210&lt;&gt;"",ROW()-11,"")</f>
        <v/>
      </c>
      <c r="C210" s="82"/>
      <c r="D210" s="82"/>
      <c r="E210" s="82"/>
      <c r="F210" s="82"/>
      <c r="G210" s="82"/>
      <c r="H210" s="83"/>
      <c r="I210" s="83"/>
      <c r="J210" s="82"/>
      <c r="K210" s="84"/>
      <c r="L210" s="84"/>
      <c r="M210" s="81" t="str">
        <f aca="false">IF(AND(L210&lt;&gt;"",Z210="Open"),L210-Settings!$C$13,"")</f>
        <v/>
      </c>
      <c r="N210" s="81" t="str">
        <f aca="false">IF(Z210&lt;&gt;"Open","",IF(L210="","",IF(L210&lt;Settings!$C$13,"OVERDUE",IF(L210&lt;=Settings!$C$13+Settings!C9,"AT RISK","OK"))))</f>
        <v/>
      </c>
      <c r="O210" s="83"/>
      <c r="P210" s="81"/>
      <c r="Q210" s="85"/>
      <c r="R210" s="85"/>
      <c r="S210" s="85"/>
      <c r="T210" s="85" t="str">
        <f aca="false">IF(AND(Q210&gt;0,R210&gt;0),Q210-R210,"")</f>
        <v/>
      </c>
      <c r="U210" s="86" t="str">
        <f aca="false">IFERROR(IF(AND(Q210&gt;0,R210&gt;0),(Q210-R210)/Q210,""),"")</f>
        <v/>
      </c>
      <c r="V210" s="82"/>
      <c r="W210" s="84"/>
      <c r="X210" s="81" t="str">
        <f aca="false">IF(AND(K210&lt;&gt;"",W210&lt;&gt;""),W210-K210,"")</f>
        <v/>
      </c>
      <c r="Y210" s="81" t="str">
        <f aca="false">IF(AND(X210&lt;&gt;"",X210&gt;0),IF(X210&lt;=Settings!C8,"Yes","No"),"")</f>
        <v/>
      </c>
      <c r="Z210" s="83"/>
      <c r="AA210" s="87"/>
      <c r="AB210" s="88" t="str">
        <f aca="false">IF(Z210&lt;&gt;"Closed","",IF(P210&gt;=Settings!$C$10,"OK","LOW"))</f>
        <v/>
      </c>
    </row>
    <row r="211" customFormat="false" ht="15.75" hidden="false" customHeight="true" outlineLevel="0" collapsed="false">
      <c r="B211" s="89" t="str">
        <f aca="false">IF(C211&lt;&gt;"",ROW()-11,"")</f>
        <v/>
      </c>
      <c r="C211" s="90"/>
      <c r="D211" s="90"/>
      <c r="E211" s="90"/>
      <c r="F211" s="90"/>
      <c r="G211" s="90"/>
      <c r="H211" s="91"/>
      <c r="I211" s="91"/>
      <c r="J211" s="90"/>
      <c r="K211" s="92"/>
      <c r="L211" s="92"/>
      <c r="M211" s="89" t="str">
        <f aca="false">IF(AND(L211&lt;&gt;"",Z211="Open"),L211-Settings!$C$13,"")</f>
        <v/>
      </c>
      <c r="N211" s="89" t="str">
        <f aca="false">IF(Z211&lt;&gt;"Open","",IF(L211="","",IF(L211&lt;Settings!$C$13,"OVERDUE",IF(L211&lt;=Settings!$C$13+Settings!C9,"AT RISK","OK"))))</f>
        <v/>
      </c>
      <c r="O211" s="91"/>
      <c r="P211" s="89"/>
      <c r="Q211" s="93"/>
      <c r="R211" s="93"/>
      <c r="S211" s="93"/>
      <c r="T211" s="93" t="str">
        <f aca="false">IF(AND(Q211&gt;0,R211&gt;0),Q211-R211,"")</f>
        <v/>
      </c>
      <c r="U211" s="94" t="str">
        <f aca="false">IFERROR(IF(AND(Q211&gt;0,R211&gt;0),(Q211-R211)/Q211,""),"")</f>
        <v/>
      </c>
      <c r="V211" s="90"/>
      <c r="W211" s="92"/>
      <c r="X211" s="89" t="str">
        <f aca="false">IF(AND(K211&lt;&gt;"",W211&lt;&gt;""),W211-K211,"")</f>
        <v/>
      </c>
      <c r="Y211" s="89" t="str">
        <f aca="false">IF(AND(X211&lt;&gt;"",X211&gt;0),IF(X211&lt;=Settings!C8,"Yes","No"),"")</f>
        <v/>
      </c>
      <c r="Z211" s="91"/>
      <c r="AA211" s="95"/>
      <c r="AB211" s="88" t="str">
        <f aca="false">IF(Z211&lt;&gt;"Closed","",IF(P211&gt;=Settings!$C$10,"OK","LOW"))</f>
        <v/>
      </c>
    </row>
    <row r="212" customFormat="false" ht="15.75" hidden="false" customHeight="true" outlineLevel="0" collapsed="false">
      <c r="B212" s="81" t="str">
        <f aca="false">IF(C212&lt;&gt;"",ROW()-11,"")</f>
        <v/>
      </c>
      <c r="C212" s="82"/>
      <c r="D212" s="82"/>
      <c r="E212" s="82"/>
      <c r="F212" s="82"/>
      <c r="G212" s="82"/>
      <c r="H212" s="83"/>
      <c r="I212" s="83"/>
      <c r="J212" s="82"/>
      <c r="K212" s="84"/>
      <c r="L212" s="84"/>
      <c r="M212" s="81" t="str">
        <f aca="false">IF(AND(L212&lt;&gt;"",Z212="Open"),L212-Settings!$C$13,"")</f>
        <v/>
      </c>
      <c r="N212" s="81" t="str">
        <f aca="false">IF(Z212&lt;&gt;"Open","",IF(L212="","",IF(L212&lt;Settings!$C$13,"OVERDUE",IF(L212&lt;=Settings!$C$13+Settings!C9,"AT RISK","OK"))))</f>
        <v/>
      </c>
      <c r="O212" s="83"/>
      <c r="P212" s="81"/>
      <c r="Q212" s="85"/>
      <c r="R212" s="85"/>
      <c r="S212" s="85"/>
      <c r="T212" s="85" t="str">
        <f aca="false">IF(AND(Q212&gt;0,R212&gt;0),Q212-R212,"")</f>
        <v/>
      </c>
      <c r="U212" s="86" t="str">
        <f aca="false">IFERROR(IF(AND(Q212&gt;0,R212&gt;0),(Q212-R212)/Q212,""),"")</f>
        <v/>
      </c>
      <c r="V212" s="82"/>
      <c r="W212" s="84"/>
      <c r="X212" s="81" t="str">
        <f aca="false">IF(AND(K212&lt;&gt;"",W212&lt;&gt;""),W212-K212,"")</f>
        <v/>
      </c>
      <c r="Y212" s="81" t="str">
        <f aca="false">IF(AND(X212&lt;&gt;"",X212&gt;0),IF(X212&lt;=Settings!C8,"Yes","No"),"")</f>
        <v/>
      </c>
      <c r="Z212" s="83"/>
      <c r="AA212" s="87"/>
      <c r="AB212" s="88" t="str">
        <f aca="false">IF(Z212&lt;&gt;"Closed","",IF(P212&gt;=Settings!$C$10,"OK","LOW"))</f>
        <v/>
      </c>
    </row>
    <row r="213" customFormat="false" ht="15.75" hidden="false" customHeight="true" outlineLevel="0" collapsed="false">
      <c r="B213" s="89" t="str">
        <f aca="false">IF(C213&lt;&gt;"",ROW()-11,"")</f>
        <v/>
      </c>
      <c r="C213" s="90"/>
      <c r="D213" s="90"/>
      <c r="E213" s="90"/>
      <c r="F213" s="90"/>
      <c r="G213" s="90"/>
      <c r="H213" s="91"/>
      <c r="I213" s="91"/>
      <c r="J213" s="90"/>
      <c r="K213" s="92"/>
      <c r="L213" s="92"/>
      <c r="M213" s="89" t="str">
        <f aca="false">IF(AND(L213&lt;&gt;"",Z213="Open"),L213-Settings!$C$13,"")</f>
        <v/>
      </c>
      <c r="N213" s="89" t="str">
        <f aca="false">IF(Z213&lt;&gt;"Open","",IF(L213="","",IF(L213&lt;Settings!$C$13,"OVERDUE",IF(L213&lt;=Settings!$C$13+Settings!C9,"AT RISK","OK"))))</f>
        <v/>
      </c>
      <c r="O213" s="91"/>
      <c r="P213" s="89"/>
      <c r="Q213" s="93"/>
      <c r="R213" s="93"/>
      <c r="S213" s="93"/>
      <c r="T213" s="93" t="str">
        <f aca="false">IF(AND(Q213&gt;0,R213&gt;0),Q213-R213,"")</f>
        <v/>
      </c>
      <c r="U213" s="94" t="str">
        <f aca="false">IFERROR(IF(AND(Q213&gt;0,R213&gt;0),(Q213-R213)/Q213,""),"")</f>
        <v/>
      </c>
      <c r="V213" s="90"/>
      <c r="W213" s="92"/>
      <c r="X213" s="89" t="str">
        <f aca="false">IF(AND(K213&lt;&gt;"",W213&lt;&gt;""),W213-K213,"")</f>
        <v/>
      </c>
      <c r="Y213" s="89" t="str">
        <f aca="false">IF(AND(X213&lt;&gt;"",X213&gt;0),IF(X213&lt;=Settings!C8,"Yes","No"),"")</f>
        <v/>
      </c>
      <c r="Z213" s="91"/>
      <c r="AA213" s="95"/>
      <c r="AB213" s="88" t="str">
        <f aca="false">IF(Z213&lt;&gt;"Closed","",IF(P213&gt;=Settings!$C$10,"OK","LOW"))</f>
        <v/>
      </c>
    </row>
    <row r="214" customFormat="false" ht="15.75" hidden="false" customHeight="true" outlineLevel="0" collapsed="false">
      <c r="B214" s="81" t="str">
        <f aca="false">IF(C214&lt;&gt;"",ROW()-11,"")</f>
        <v/>
      </c>
      <c r="C214" s="82"/>
      <c r="D214" s="82"/>
      <c r="E214" s="82"/>
      <c r="F214" s="82"/>
      <c r="G214" s="82"/>
      <c r="H214" s="83"/>
      <c r="I214" s="83"/>
      <c r="J214" s="82"/>
      <c r="K214" s="84"/>
      <c r="L214" s="84"/>
      <c r="M214" s="81" t="str">
        <f aca="false">IF(AND(L214&lt;&gt;"",Z214="Open"),L214-Settings!$C$13,"")</f>
        <v/>
      </c>
      <c r="N214" s="81" t="str">
        <f aca="false">IF(Z214&lt;&gt;"Open","",IF(L214="","",IF(L214&lt;Settings!$C$13,"OVERDUE",IF(L214&lt;=Settings!$C$13+Settings!C9,"AT RISK","OK"))))</f>
        <v/>
      </c>
      <c r="O214" s="83"/>
      <c r="P214" s="81"/>
      <c r="Q214" s="85"/>
      <c r="R214" s="85"/>
      <c r="S214" s="85"/>
      <c r="T214" s="85" t="str">
        <f aca="false">IF(AND(Q214&gt;0,R214&gt;0),Q214-R214,"")</f>
        <v/>
      </c>
      <c r="U214" s="86" t="str">
        <f aca="false">IFERROR(IF(AND(Q214&gt;0,R214&gt;0),(Q214-R214)/Q214,""),"")</f>
        <v/>
      </c>
      <c r="V214" s="82"/>
      <c r="W214" s="84"/>
      <c r="X214" s="81" t="str">
        <f aca="false">IF(AND(K214&lt;&gt;"",W214&lt;&gt;""),W214-K214,"")</f>
        <v/>
      </c>
      <c r="Y214" s="81" t="str">
        <f aca="false">IF(AND(X214&lt;&gt;"",X214&gt;0),IF(X214&lt;=Settings!C8,"Yes","No"),"")</f>
        <v/>
      </c>
      <c r="Z214" s="83"/>
      <c r="AA214" s="87"/>
      <c r="AB214" s="88" t="str">
        <f aca="false">IF(Z214&lt;&gt;"Closed","",IF(P214&gt;=Settings!$C$10,"OK","LOW"))</f>
        <v/>
      </c>
    </row>
    <row r="215" customFormat="false" ht="15.75" hidden="false" customHeight="true" outlineLevel="0" collapsed="false">
      <c r="B215" s="89" t="str">
        <f aca="false">IF(C215&lt;&gt;"",ROW()-11,"")</f>
        <v/>
      </c>
      <c r="C215" s="90"/>
      <c r="D215" s="90"/>
      <c r="E215" s="90"/>
      <c r="F215" s="90"/>
      <c r="G215" s="90"/>
      <c r="H215" s="91"/>
      <c r="I215" s="91"/>
      <c r="J215" s="90"/>
      <c r="K215" s="92"/>
      <c r="L215" s="92"/>
      <c r="M215" s="89" t="str">
        <f aca="false">IF(AND(L215&lt;&gt;"",Z215="Open"),L215-Settings!$C$13,"")</f>
        <v/>
      </c>
      <c r="N215" s="89" t="str">
        <f aca="false">IF(Z215&lt;&gt;"Open","",IF(L215="","",IF(L215&lt;Settings!$C$13,"OVERDUE",IF(L215&lt;=Settings!$C$13+Settings!C9,"AT RISK","OK"))))</f>
        <v/>
      </c>
      <c r="O215" s="91"/>
      <c r="P215" s="89"/>
      <c r="Q215" s="93"/>
      <c r="R215" s="93"/>
      <c r="S215" s="93"/>
      <c r="T215" s="93" t="str">
        <f aca="false">IF(AND(Q215&gt;0,R215&gt;0),Q215-R215,"")</f>
        <v/>
      </c>
      <c r="U215" s="94" t="str">
        <f aca="false">IFERROR(IF(AND(Q215&gt;0,R215&gt;0),(Q215-R215)/Q215,""),"")</f>
        <v/>
      </c>
      <c r="V215" s="90"/>
      <c r="W215" s="92"/>
      <c r="X215" s="89" t="str">
        <f aca="false">IF(AND(K215&lt;&gt;"",W215&lt;&gt;""),W215-K215,"")</f>
        <v/>
      </c>
      <c r="Y215" s="89" t="str">
        <f aca="false">IF(AND(X215&lt;&gt;"",X215&gt;0),IF(X215&lt;=Settings!C8,"Yes","No"),"")</f>
        <v/>
      </c>
      <c r="Z215" s="91"/>
      <c r="AA215" s="95"/>
      <c r="AB215" s="88" t="str">
        <f aca="false">IF(Z215&lt;&gt;"Closed","",IF(P215&gt;=Settings!$C$10,"OK","LOW"))</f>
        <v/>
      </c>
    </row>
    <row r="216" customFormat="false" ht="15.75" hidden="false" customHeight="true" outlineLevel="0" collapsed="false">
      <c r="B216" s="81" t="str">
        <f aca="false">IF(C216&lt;&gt;"",ROW()-11,"")</f>
        <v/>
      </c>
      <c r="C216" s="82"/>
      <c r="D216" s="82"/>
      <c r="E216" s="82"/>
      <c r="F216" s="82"/>
      <c r="G216" s="82"/>
      <c r="H216" s="83"/>
      <c r="I216" s="83"/>
      <c r="J216" s="82"/>
      <c r="K216" s="84"/>
      <c r="L216" s="84"/>
      <c r="M216" s="81" t="str">
        <f aca="false">IF(AND(L216&lt;&gt;"",Z216="Open"),L216-Settings!$C$13,"")</f>
        <v/>
      </c>
      <c r="N216" s="81" t="str">
        <f aca="false">IF(Z216&lt;&gt;"Open","",IF(L216="","",IF(L216&lt;Settings!$C$13,"OVERDUE",IF(L216&lt;=Settings!$C$13+Settings!C9,"AT RISK","OK"))))</f>
        <v/>
      </c>
      <c r="O216" s="83"/>
      <c r="P216" s="81"/>
      <c r="Q216" s="85"/>
      <c r="R216" s="85"/>
      <c r="S216" s="85"/>
      <c r="T216" s="85" t="str">
        <f aca="false">IF(AND(Q216&gt;0,R216&gt;0),Q216-R216,"")</f>
        <v/>
      </c>
      <c r="U216" s="86" t="str">
        <f aca="false">IFERROR(IF(AND(Q216&gt;0,R216&gt;0),(Q216-R216)/Q216,""),"")</f>
        <v/>
      </c>
      <c r="V216" s="82"/>
      <c r="W216" s="84"/>
      <c r="X216" s="81" t="str">
        <f aca="false">IF(AND(K216&lt;&gt;"",W216&lt;&gt;""),W216-K216,"")</f>
        <v/>
      </c>
      <c r="Y216" s="81" t="str">
        <f aca="false">IF(AND(X216&lt;&gt;"",X216&gt;0),IF(X216&lt;=Settings!C8,"Yes","No"),"")</f>
        <v/>
      </c>
      <c r="Z216" s="83"/>
      <c r="AA216" s="87"/>
      <c r="AB216" s="88" t="str">
        <f aca="false">IF(Z216&lt;&gt;"Closed","",IF(P216&gt;=Settings!$C$10,"OK","LOW"))</f>
        <v/>
      </c>
    </row>
    <row r="217" customFormat="false" ht="15.75" hidden="false" customHeight="true" outlineLevel="0" collapsed="false">
      <c r="B217" s="89" t="str">
        <f aca="false">IF(C217&lt;&gt;"",ROW()-11,"")</f>
        <v/>
      </c>
      <c r="C217" s="90"/>
      <c r="D217" s="90"/>
      <c r="E217" s="90"/>
      <c r="F217" s="90"/>
      <c r="G217" s="90"/>
      <c r="H217" s="91"/>
      <c r="I217" s="91"/>
      <c r="J217" s="90"/>
      <c r="K217" s="92"/>
      <c r="L217" s="92"/>
      <c r="M217" s="89" t="str">
        <f aca="false">IF(AND(L217&lt;&gt;"",Z217="Open"),L217-Settings!$C$13,"")</f>
        <v/>
      </c>
      <c r="N217" s="89" t="str">
        <f aca="false">IF(Z217&lt;&gt;"Open","",IF(L217="","",IF(L217&lt;Settings!$C$13,"OVERDUE",IF(L217&lt;=Settings!$C$13+Settings!C9,"AT RISK","OK"))))</f>
        <v/>
      </c>
      <c r="O217" s="91"/>
      <c r="P217" s="89"/>
      <c r="Q217" s="93"/>
      <c r="R217" s="93"/>
      <c r="S217" s="93"/>
      <c r="T217" s="93" t="str">
        <f aca="false">IF(AND(Q217&gt;0,R217&gt;0),Q217-R217,"")</f>
        <v/>
      </c>
      <c r="U217" s="94" t="str">
        <f aca="false">IFERROR(IF(AND(Q217&gt;0,R217&gt;0),(Q217-R217)/Q217,""),"")</f>
        <v/>
      </c>
      <c r="V217" s="90"/>
      <c r="W217" s="92"/>
      <c r="X217" s="89" t="str">
        <f aca="false">IF(AND(K217&lt;&gt;"",W217&lt;&gt;""),W217-K217,"")</f>
        <v/>
      </c>
      <c r="Y217" s="89" t="str">
        <f aca="false">IF(AND(X217&lt;&gt;"",X217&gt;0),IF(X217&lt;=Settings!C8,"Yes","No"),"")</f>
        <v/>
      </c>
      <c r="Z217" s="91"/>
      <c r="AA217" s="95"/>
      <c r="AB217" s="88" t="str">
        <f aca="false">IF(Z217&lt;&gt;"Closed","",IF(P217&gt;=Settings!$C$10,"OK","LOW"))</f>
        <v/>
      </c>
    </row>
    <row r="218" customFormat="false" ht="15.75" hidden="false" customHeight="true" outlineLevel="0" collapsed="false">
      <c r="B218" s="81" t="str">
        <f aca="false">IF(C218&lt;&gt;"",ROW()-11,"")</f>
        <v/>
      </c>
      <c r="C218" s="82"/>
      <c r="D218" s="82"/>
      <c r="E218" s="82"/>
      <c r="F218" s="82"/>
      <c r="G218" s="82"/>
      <c r="H218" s="83"/>
      <c r="I218" s="83"/>
      <c r="J218" s="82"/>
      <c r="K218" s="84"/>
      <c r="L218" s="84"/>
      <c r="M218" s="81" t="str">
        <f aca="false">IF(AND(L218&lt;&gt;"",Z218="Open"),L218-Settings!$C$13,"")</f>
        <v/>
      </c>
      <c r="N218" s="81" t="str">
        <f aca="false">IF(Z218&lt;&gt;"Open","",IF(L218="","",IF(L218&lt;Settings!$C$13,"OVERDUE",IF(L218&lt;=Settings!$C$13+Settings!C9,"AT RISK","OK"))))</f>
        <v/>
      </c>
      <c r="O218" s="83"/>
      <c r="P218" s="81"/>
      <c r="Q218" s="85"/>
      <c r="R218" s="85"/>
      <c r="S218" s="85"/>
      <c r="T218" s="85" t="str">
        <f aca="false">IF(AND(Q218&gt;0,R218&gt;0),Q218-R218,"")</f>
        <v/>
      </c>
      <c r="U218" s="86" t="str">
        <f aca="false">IFERROR(IF(AND(Q218&gt;0,R218&gt;0),(Q218-R218)/Q218,""),"")</f>
        <v/>
      </c>
      <c r="V218" s="82"/>
      <c r="W218" s="84"/>
      <c r="X218" s="81" t="str">
        <f aca="false">IF(AND(K218&lt;&gt;"",W218&lt;&gt;""),W218-K218,"")</f>
        <v/>
      </c>
      <c r="Y218" s="81" t="str">
        <f aca="false">IF(AND(X218&lt;&gt;"",X218&gt;0),IF(X218&lt;=Settings!C8,"Yes","No"),"")</f>
        <v/>
      </c>
      <c r="Z218" s="83"/>
      <c r="AA218" s="87"/>
      <c r="AB218" s="88" t="str">
        <f aca="false">IF(Z218&lt;&gt;"Closed","",IF(P218&gt;=Settings!$C$10,"OK","LOW"))</f>
        <v/>
      </c>
    </row>
    <row r="219" customFormat="false" ht="15.75" hidden="false" customHeight="true" outlineLevel="0" collapsed="false">
      <c r="B219" s="89" t="str">
        <f aca="false">IF(C219&lt;&gt;"",ROW()-11,"")</f>
        <v/>
      </c>
      <c r="C219" s="90"/>
      <c r="D219" s="90"/>
      <c r="E219" s="90"/>
      <c r="F219" s="90"/>
      <c r="G219" s="90"/>
      <c r="H219" s="91"/>
      <c r="I219" s="91"/>
      <c r="J219" s="90"/>
      <c r="K219" s="92"/>
      <c r="L219" s="92"/>
      <c r="M219" s="89" t="str">
        <f aca="false">IF(AND(L219&lt;&gt;"",Z219="Open"),L219-Settings!$C$13,"")</f>
        <v/>
      </c>
      <c r="N219" s="89" t="str">
        <f aca="false">IF(Z219&lt;&gt;"Open","",IF(L219="","",IF(L219&lt;Settings!$C$13,"OVERDUE",IF(L219&lt;=Settings!$C$13+Settings!C9,"AT RISK","OK"))))</f>
        <v/>
      </c>
      <c r="O219" s="91"/>
      <c r="P219" s="89"/>
      <c r="Q219" s="93"/>
      <c r="R219" s="93"/>
      <c r="S219" s="93"/>
      <c r="T219" s="93" t="str">
        <f aca="false">IF(AND(Q219&gt;0,R219&gt;0),Q219-R219,"")</f>
        <v/>
      </c>
      <c r="U219" s="94" t="str">
        <f aca="false">IFERROR(IF(AND(Q219&gt;0,R219&gt;0),(Q219-R219)/Q219,""),"")</f>
        <v/>
      </c>
      <c r="V219" s="90"/>
      <c r="W219" s="92"/>
      <c r="X219" s="89" t="str">
        <f aca="false">IF(AND(K219&lt;&gt;"",W219&lt;&gt;""),W219-K219,"")</f>
        <v/>
      </c>
      <c r="Y219" s="89" t="str">
        <f aca="false">IF(AND(X219&lt;&gt;"",X219&gt;0),IF(X219&lt;=Settings!C8,"Yes","No"),"")</f>
        <v/>
      </c>
      <c r="Z219" s="91"/>
      <c r="AA219" s="95"/>
      <c r="AB219" s="88" t="str">
        <f aca="false">IF(Z219&lt;&gt;"Closed","",IF(P219&gt;=Settings!$C$10,"OK","LOW"))</f>
        <v/>
      </c>
    </row>
    <row r="220" customFormat="false" ht="15.75" hidden="false" customHeight="true" outlineLevel="0" collapsed="false">
      <c r="B220" s="81" t="str">
        <f aca="false">IF(C220&lt;&gt;"",ROW()-11,"")</f>
        <v/>
      </c>
      <c r="C220" s="82"/>
      <c r="D220" s="82"/>
      <c r="E220" s="82"/>
      <c r="F220" s="82"/>
      <c r="G220" s="82"/>
      <c r="H220" s="83"/>
      <c r="I220" s="83"/>
      <c r="J220" s="82"/>
      <c r="K220" s="84"/>
      <c r="L220" s="84"/>
      <c r="M220" s="81" t="str">
        <f aca="false">IF(AND(L220&lt;&gt;"",Z220="Open"),L220-Settings!$C$13,"")</f>
        <v/>
      </c>
      <c r="N220" s="81" t="str">
        <f aca="false">IF(Z220&lt;&gt;"Open","",IF(L220="","",IF(L220&lt;Settings!$C$13,"OVERDUE",IF(L220&lt;=Settings!$C$13+Settings!C9,"AT RISK","OK"))))</f>
        <v/>
      </c>
      <c r="O220" s="83"/>
      <c r="P220" s="81"/>
      <c r="Q220" s="85"/>
      <c r="R220" s="85"/>
      <c r="S220" s="85"/>
      <c r="T220" s="85" t="str">
        <f aca="false">IF(AND(Q220&gt;0,R220&gt;0),Q220-R220,"")</f>
        <v/>
      </c>
      <c r="U220" s="86" t="str">
        <f aca="false">IFERROR(IF(AND(Q220&gt;0,R220&gt;0),(Q220-R220)/Q220,""),"")</f>
        <v/>
      </c>
      <c r="V220" s="82"/>
      <c r="W220" s="84"/>
      <c r="X220" s="81" t="str">
        <f aca="false">IF(AND(K220&lt;&gt;"",W220&lt;&gt;""),W220-K220,"")</f>
        <v/>
      </c>
      <c r="Y220" s="81" t="str">
        <f aca="false">IF(AND(X220&lt;&gt;"",X220&gt;0),IF(X220&lt;=Settings!C8,"Yes","No"),"")</f>
        <v/>
      </c>
      <c r="Z220" s="83"/>
      <c r="AA220" s="87"/>
      <c r="AB220" s="88" t="str">
        <f aca="false">IF(Z220&lt;&gt;"Closed","",IF(P220&gt;=Settings!$C$10,"OK","LOW"))</f>
        <v/>
      </c>
    </row>
    <row r="221" customFormat="false" ht="15.75" hidden="false" customHeight="true" outlineLevel="0" collapsed="false">
      <c r="B221" s="89" t="str">
        <f aca="false">IF(C221&lt;&gt;"",ROW()-11,"")</f>
        <v/>
      </c>
      <c r="C221" s="90"/>
      <c r="D221" s="90"/>
      <c r="E221" s="90"/>
      <c r="F221" s="90"/>
      <c r="G221" s="90"/>
      <c r="H221" s="91"/>
      <c r="I221" s="91"/>
      <c r="J221" s="90"/>
      <c r="K221" s="92"/>
      <c r="L221" s="92"/>
      <c r="M221" s="89" t="str">
        <f aca="false">IF(AND(L221&lt;&gt;"",Z221="Open"),L221-Settings!$C$13,"")</f>
        <v/>
      </c>
      <c r="N221" s="89" t="str">
        <f aca="false">IF(Z221&lt;&gt;"Open","",IF(L221="","",IF(L221&lt;Settings!$C$13,"OVERDUE",IF(L221&lt;=Settings!$C$13+Settings!C9,"AT RISK","OK"))))</f>
        <v/>
      </c>
      <c r="O221" s="91"/>
      <c r="P221" s="89"/>
      <c r="Q221" s="93"/>
      <c r="R221" s="93"/>
      <c r="S221" s="93"/>
      <c r="T221" s="93" t="str">
        <f aca="false">IF(AND(Q221&gt;0,R221&gt;0),Q221-R221,"")</f>
        <v/>
      </c>
      <c r="U221" s="94" t="str">
        <f aca="false">IFERROR(IF(AND(Q221&gt;0,R221&gt;0),(Q221-R221)/Q221,""),"")</f>
        <v/>
      </c>
      <c r="V221" s="90"/>
      <c r="W221" s="92"/>
      <c r="X221" s="89" t="str">
        <f aca="false">IF(AND(K221&lt;&gt;"",W221&lt;&gt;""),W221-K221,"")</f>
        <v/>
      </c>
      <c r="Y221" s="89" t="str">
        <f aca="false">IF(AND(X221&lt;&gt;"",X221&gt;0),IF(X221&lt;=Settings!C8,"Yes","No"),"")</f>
        <v/>
      </c>
      <c r="Z221" s="91"/>
      <c r="AA221" s="95"/>
      <c r="AB221" s="88" t="str">
        <f aca="false">IF(Z221&lt;&gt;"Closed","",IF(P221&gt;=Settings!$C$10,"OK","LOW"))</f>
        <v/>
      </c>
    </row>
    <row r="222" customFormat="false" ht="15.75" hidden="false" customHeight="true" outlineLevel="0" collapsed="false">
      <c r="B222" s="81" t="str">
        <f aca="false">IF(C222&lt;&gt;"",ROW()-11,"")</f>
        <v/>
      </c>
      <c r="C222" s="82"/>
      <c r="D222" s="82"/>
      <c r="E222" s="82"/>
      <c r="F222" s="82"/>
      <c r="G222" s="82"/>
      <c r="H222" s="83"/>
      <c r="I222" s="83"/>
      <c r="J222" s="82"/>
      <c r="K222" s="84"/>
      <c r="L222" s="84"/>
      <c r="M222" s="81" t="str">
        <f aca="false">IF(AND(L222&lt;&gt;"",Z222="Open"),L222-Settings!$C$13,"")</f>
        <v/>
      </c>
      <c r="N222" s="81" t="str">
        <f aca="false">IF(Z222&lt;&gt;"Open","",IF(L222="","",IF(L222&lt;Settings!$C$13,"OVERDUE",IF(L222&lt;=Settings!$C$13+Settings!C9,"AT RISK","OK"))))</f>
        <v/>
      </c>
      <c r="O222" s="83"/>
      <c r="P222" s="81"/>
      <c r="Q222" s="85"/>
      <c r="R222" s="85"/>
      <c r="S222" s="85"/>
      <c r="T222" s="85" t="str">
        <f aca="false">IF(AND(Q222&gt;0,R222&gt;0),Q222-R222,"")</f>
        <v/>
      </c>
      <c r="U222" s="86" t="str">
        <f aca="false">IFERROR(IF(AND(Q222&gt;0,R222&gt;0),(Q222-R222)/Q222,""),"")</f>
        <v/>
      </c>
      <c r="V222" s="82"/>
      <c r="W222" s="84"/>
      <c r="X222" s="81" t="str">
        <f aca="false">IF(AND(K222&lt;&gt;"",W222&lt;&gt;""),W222-K222,"")</f>
        <v/>
      </c>
      <c r="Y222" s="81" t="str">
        <f aca="false">IF(AND(X222&lt;&gt;"",X222&gt;0),IF(X222&lt;=Settings!C8,"Yes","No"),"")</f>
        <v/>
      </c>
      <c r="Z222" s="83"/>
      <c r="AA222" s="87"/>
      <c r="AB222" s="88" t="str">
        <f aca="false">IF(Z222&lt;&gt;"Closed","",IF(P222&gt;=Settings!$C$10,"OK","LOW"))</f>
        <v/>
      </c>
    </row>
    <row r="223" customFormat="false" ht="15.75" hidden="false" customHeight="true" outlineLevel="0" collapsed="false">
      <c r="B223" s="89" t="str">
        <f aca="false">IF(C223&lt;&gt;"",ROW()-11,"")</f>
        <v/>
      </c>
      <c r="C223" s="90"/>
      <c r="D223" s="90"/>
      <c r="E223" s="90"/>
      <c r="F223" s="90"/>
      <c r="G223" s="90"/>
      <c r="H223" s="91"/>
      <c r="I223" s="91"/>
      <c r="J223" s="90"/>
      <c r="K223" s="92"/>
      <c r="L223" s="92"/>
      <c r="M223" s="89" t="str">
        <f aca="false">IF(AND(L223&lt;&gt;"",Z223="Open"),L223-Settings!$C$13,"")</f>
        <v/>
      </c>
      <c r="N223" s="89" t="str">
        <f aca="false">IF(Z223&lt;&gt;"Open","",IF(L223="","",IF(L223&lt;Settings!$C$13,"OVERDUE",IF(L223&lt;=Settings!$C$13+Settings!C9,"AT RISK","OK"))))</f>
        <v/>
      </c>
      <c r="O223" s="91"/>
      <c r="P223" s="89"/>
      <c r="Q223" s="93"/>
      <c r="R223" s="93"/>
      <c r="S223" s="93"/>
      <c r="T223" s="93" t="str">
        <f aca="false">IF(AND(Q223&gt;0,R223&gt;0),Q223-R223,"")</f>
        <v/>
      </c>
      <c r="U223" s="94" t="str">
        <f aca="false">IFERROR(IF(AND(Q223&gt;0,R223&gt;0),(Q223-R223)/Q223,""),"")</f>
        <v/>
      </c>
      <c r="V223" s="90"/>
      <c r="W223" s="92"/>
      <c r="X223" s="89" t="str">
        <f aca="false">IF(AND(K223&lt;&gt;"",W223&lt;&gt;""),W223-K223,"")</f>
        <v/>
      </c>
      <c r="Y223" s="89" t="str">
        <f aca="false">IF(AND(X223&lt;&gt;"",X223&gt;0),IF(X223&lt;=Settings!C8,"Yes","No"),"")</f>
        <v/>
      </c>
      <c r="Z223" s="91"/>
      <c r="AA223" s="95"/>
      <c r="AB223" s="88" t="str">
        <f aca="false">IF(Z223&lt;&gt;"Closed","",IF(P223&gt;=Settings!$C$10,"OK","LOW"))</f>
        <v/>
      </c>
    </row>
    <row r="224" customFormat="false" ht="15.75" hidden="false" customHeight="true" outlineLevel="0" collapsed="false">
      <c r="B224" s="81" t="str">
        <f aca="false">IF(C224&lt;&gt;"",ROW()-11,"")</f>
        <v/>
      </c>
      <c r="C224" s="82"/>
      <c r="D224" s="82"/>
      <c r="E224" s="82"/>
      <c r="F224" s="82"/>
      <c r="G224" s="82"/>
      <c r="H224" s="83"/>
      <c r="I224" s="83"/>
      <c r="J224" s="82"/>
      <c r="K224" s="84"/>
      <c r="L224" s="84"/>
      <c r="M224" s="81" t="str">
        <f aca="false">IF(AND(L224&lt;&gt;"",Z224="Open"),L224-Settings!$C$13,"")</f>
        <v/>
      </c>
      <c r="N224" s="81" t="str">
        <f aca="false">IF(Z224&lt;&gt;"Open","",IF(L224="","",IF(L224&lt;Settings!$C$13,"OVERDUE",IF(L224&lt;=Settings!$C$13+Settings!C9,"AT RISK","OK"))))</f>
        <v/>
      </c>
      <c r="O224" s="83"/>
      <c r="P224" s="81"/>
      <c r="Q224" s="85"/>
      <c r="R224" s="85"/>
      <c r="S224" s="85"/>
      <c r="T224" s="85" t="str">
        <f aca="false">IF(AND(Q224&gt;0,R224&gt;0),Q224-R224,"")</f>
        <v/>
      </c>
      <c r="U224" s="86" t="str">
        <f aca="false">IFERROR(IF(AND(Q224&gt;0,R224&gt;0),(Q224-R224)/Q224,""),"")</f>
        <v/>
      </c>
      <c r="V224" s="82"/>
      <c r="W224" s="84"/>
      <c r="X224" s="81" t="str">
        <f aca="false">IF(AND(K224&lt;&gt;"",W224&lt;&gt;""),W224-K224,"")</f>
        <v/>
      </c>
      <c r="Y224" s="81" t="str">
        <f aca="false">IF(AND(X224&lt;&gt;"",X224&gt;0),IF(X224&lt;=Settings!C8,"Yes","No"),"")</f>
        <v/>
      </c>
      <c r="Z224" s="83"/>
      <c r="AA224" s="87"/>
      <c r="AB224" s="88" t="str">
        <f aca="false">IF(Z224&lt;&gt;"Closed","",IF(P224&gt;=Settings!$C$10,"OK","LOW"))</f>
        <v/>
      </c>
    </row>
    <row r="225" customFormat="false" ht="15.75" hidden="false" customHeight="true" outlineLevel="0" collapsed="false">
      <c r="B225" s="89" t="str">
        <f aca="false">IF(C225&lt;&gt;"",ROW()-11,"")</f>
        <v/>
      </c>
      <c r="C225" s="90"/>
      <c r="D225" s="90"/>
      <c r="E225" s="90"/>
      <c r="F225" s="90"/>
      <c r="G225" s="90"/>
      <c r="H225" s="91"/>
      <c r="I225" s="91"/>
      <c r="J225" s="90"/>
      <c r="K225" s="92"/>
      <c r="L225" s="92"/>
      <c r="M225" s="89" t="str">
        <f aca="false">IF(AND(L225&lt;&gt;"",Z225="Open"),L225-Settings!$C$13,"")</f>
        <v/>
      </c>
      <c r="N225" s="89" t="str">
        <f aca="false">IF(Z225&lt;&gt;"Open","",IF(L225="","",IF(L225&lt;Settings!$C$13,"OVERDUE",IF(L225&lt;=Settings!$C$13+Settings!C9,"AT RISK","OK"))))</f>
        <v/>
      </c>
      <c r="O225" s="91"/>
      <c r="P225" s="89"/>
      <c r="Q225" s="93"/>
      <c r="R225" s="93"/>
      <c r="S225" s="93"/>
      <c r="T225" s="93" t="str">
        <f aca="false">IF(AND(Q225&gt;0,R225&gt;0),Q225-R225,"")</f>
        <v/>
      </c>
      <c r="U225" s="94" t="str">
        <f aca="false">IFERROR(IF(AND(Q225&gt;0,R225&gt;0),(Q225-R225)/Q225,""),"")</f>
        <v/>
      </c>
      <c r="V225" s="90"/>
      <c r="W225" s="92"/>
      <c r="X225" s="89" t="str">
        <f aca="false">IF(AND(K225&lt;&gt;"",W225&lt;&gt;""),W225-K225,"")</f>
        <v/>
      </c>
      <c r="Y225" s="89" t="str">
        <f aca="false">IF(AND(X225&lt;&gt;"",X225&gt;0),IF(X225&lt;=Settings!C8,"Yes","No"),"")</f>
        <v/>
      </c>
      <c r="Z225" s="91"/>
      <c r="AA225" s="95"/>
      <c r="AB225" s="88" t="str">
        <f aca="false">IF(Z225&lt;&gt;"Closed","",IF(P225&gt;=Settings!$C$10,"OK","LOW"))</f>
        <v/>
      </c>
    </row>
    <row r="226" customFormat="false" ht="15.75" hidden="false" customHeight="true" outlineLevel="0" collapsed="false">
      <c r="B226" s="81" t="str">
        <f aca="false">IF(C226&lt;&gt;"",ROW()-11,"")</f>
        <v/>
      </c>
      <c r="C226" s="82"/>
      <c r="D226" s="82"/>
      <c r="E226" s="82"/>
      <c r="F226" s="82"/>
      <c r="G226" s="82"/>
      <c r="H226" s="83"/>
      <c r="I226" s="83"/>
      <c r="J226" s="82"/>
      <c r="K226" s="84"/>
      <c r="L226" s="84"/>
      <c r="M226" s="81" t="str">
        <f aca="false">IF(AND(L226&lt;&gt;"",Z226="Open"),L226-Settings!$C$13,"")</f>
        <v/>
      </c>
      <c r="N226" s="81" t="str">
        <f aca="false">IF(Z226&lt;&gt;"Open","",IF(L226="","",IF(L226&lt;Settings!$C$13,"OVERDUE",IF(L226&lt;=Settings!$C$13+Settings!C9,"AT RISK","OK"))))</f>
        <v/>
      </c>
      <c r="O226" s="83"/>
      <c r="P226" s="81"/>
      <c r="Q226" s="85"/>
      <c r="R226" s="85"/>
      <c r="S226" s="85"/>
      <c r="T226" s="85" t="str">
        <f aca="false">IF(AND(Q226&gt;0,R226&gt;0),Q226-R226,"")</f>
        <v/>
      </c>
      <c r="U226" s="86" t="str">
        <f aca="false">IFERROR(IF(AND(Q226&gt;0,R226&gt;0),(Q226-R226)/Q226,""),"")</f>
        <v/>
      </c>
      <c r="V226" s="82"/>
      <c r="W226" s="84"/>
      <c r="X226" s="81" t="str">
        <f aca="false">IF(AND(K226&lt;&gt;"",W226&lt;&gt;""),W226-K226,"")</f>
        <v/>
      </c>
      <c r="Y226" s="81" t="str">
        <f aca="false">IF(AND(X226&lt;&gt;"",X226&gt;0),IF(X226&lt;=Settings!C8,"Yes","No"),"")</f>
        <v/>
      </c>
      <c r="Z226" s="83"/>
      <c r="AA226" s="87"/>
      <c r="AB226" s="88" t="str">
        <f aca="false">IF(Z226&lt;&gt;"Closed","",IF(P226&gt;=Settings!$C$10,"OK","LOW"))</f>
        <v/>
      </c>
    </row>
    <row r="227" customFormat="false" ht="15.75" hidden="false" customHeight="true" outlineLevel="0" collapsed="false">
      <c r="B227" s="89" t="str">
        <f aca="false">IF(C227&lt;&gt;"",ROW()-11,"")</f>
        <v/>
      </c>
      <c r="C227" s="90"/>
      <c r="D227" s="90"/>
      <c r="E227" s="90"/>
      <c r="F227" s="90"/>
      <c r="G227" s="90"/>
      <c r="H227" s="91"/>
      <c r="I227" s="91"/>
      <c r="J227" s="90"/>
      <c r="K227" s="92"/>
      <c r="L227" s="92"/>
      <c r="M227" s="89" t="str">
        <f aca="false">IF(AND(L227&lt;&gt;"",Z227="Open"),L227-Settings!$C$13,"")</f>
        <v/>
      </c>
      <c r="N227" s="89" t="str">
        <f aca="false">IF(Z227&lt;&gt;"Open","",IF(L227="","",IF(L227&lt;Settings!$C$13,"OVERDUE",IF(L227&lt;=Settings!$C$13+Settings!C9,"AT RISK","OK"))))</f>
        <v/>
      </c>
      <c r="O227" s="91"/>
      <c r="P227" s="89"/>
      <c r="Q227" s="93"/>
      <c r="R227" s="93"/>
      <c r="S227" s="93"/>
      <c r="T227" s="93" t="str">
        <f aca="false">IF(AND(Q227&gt;0,R227&gt;0),Q227-R227,"")</f>
        <v/>
      </c>
      <c r="U227" s="94" t="str">
        <f aca="false">IFERROR(IF(AND(Q227&gt;0,R227&gt;0),(Q227-R227)/Q227,""),"")</f>
        <v/>
      </c>
      <c r="V227" s="90"/>
      <c r="W227" s="92"/>
      <c r="X227" s="89" t="str">
        <f aca="false">IF(AND(K227&lt;&gt;"",W227&lt;&gt;""),W227-K227,"")</f>
        <v/>
      </c>
      <c r="Y227" s="89" t="str">
        <f aca="false">IF(AND(X227&lt;&gt;"",X227&gt;0),IF(X227&lt;=Settings!C8,"Yes","No"),"")</f>
        <v/>
      </c>
      <c r="Z227" s="91"/>
      <c r="AA227" s="95"/>
      <c r="AB227" s="88" t="str">
        <f aca="false">IF(Z227&lt;&gt;"Closed","",IF(P227&gt;=Settings!$C$10,"OK","LOW"))</f>
        <v/>
      </c>
    </row>
    <row r="228" customFormat="false" ht="15.75" hidden="false" customHeight="true" outlineLevel="0" collapsed="false">
      <c r="B228" s="81" t="str">
        <f aca="false">IF(C228&lt;&gt;"",ROW()-11,"")</f>
        <v/>
      </c>
      <c r="C228" s="82"/>
      <c r="D228" s="82"/>
      <c r="E228" s="82"/>
      <c r="F228" s="82"/>
      <c r="G228" s="82"/>
      <c r="H228" s="83"/>
      <c r="I228" s="83"/>
      <c r="J228" s="82"/>
      <c r="K228" s="84"/>
      <c r="L228" s="84"/>
      <c r="M228" s="81" t="str">
        <f aca="false">IF(AND(L228&lt;&gt;"",Z228="Open"),L228-Settings!$C$13,"")</f>
        <v/>
      </c>
      <c r="N228" s="81" t="str">
        <f aca="false">IF(Z228&lt;&gt;"Open","",IF(L228="","",IF(L228&lt;Settings!$C$13,"OVERDUE",IF(L228&lt;=Settings!$C$13+Settings!C9,"AT RISK","OK"))))</f>
        <v/>
      </c>
      <c r="O228" s="83"/>
      <c r="P228" s="81"/>
      <c r="Q228" s="85"/>
      <c r="R228" s="85"/>
      <c r="S228" s="85"/>
      <c r="T228" s="85" t="str">
        <f aca="false">IF(AND(Q228&gt;0,R228&gt;0),Q228-R228,"")</f>
        <v/>
      </c>
      <c r="U228" s="86" t="str">
        <f aca="false">IFERROR(IF(AND(Q228&gt;0,R228&gt;0),(Q228-R228)/Q228,""),"")</f>
        <v/>
      </c>
      <c r="V228" s="82"/>
      <c r="W228" s="84"/>
      <c r="X228" s="81" t="str">
        <f aca="false">IF(AND(K228&lt;&gt;"",W228&lt;&gt;""),W228-K228,"")</f>
        <v/>
      </c>
      <c r="Y228" s="81" t="str">
        <f aca="false">IF(AND(X228&lt;&gt;"",X228&gt;0),IF(X228&lt;=Settings!C8,"Yes","No"),"")</f>
        <v/>
      </c>
      <c r="Z228" s="83"/>
      <c r="AA228" s="87"/>
      <c r="AB228" s="88" t="str">
        <f aca="false">IF(Z228&lt;&gt;"Closed","",IF(P228&gt;=Settings!$C$10,"OK","LOW"))</f>
        <v/>
      </c>
    </row>
    <row r="229" customFormat="false" ht="15.75" hidden="false" customHeight="true" outlineLevel="0" collapsed="false">
      <c r="B229" s="89" t="str">
        <f aca="false">IF(C229&lt;&gt;"",ROW()-11,"")</f>
        <v/>
      </c>
      <c r="C229" s="90"/>
      <c r="D229" s="90"/>
      <c r="E229" s="90"/>
      <c r="F229" s="90"/>
      <c r="G229" s="90"/>
      <c r="H229" s="91"/>
      <c r="I229" s="91"/>
      <c r="J229" s="90"/>
      <c r="K229" s="92"/>
      <c r="L229" s="92"/>
      <c r="M229" s="89" t="str">
        <f aca="false">IF(AND(L229&lt;&gt;"",Z229="Open"),L229-Settings!$C$13,"")</f>
        <v/>
      </c>
      <c r="N229" s="89" t="str">
        <f aca="false">IF(Z229&lt;&gt;"Open","",IF(L229="","",IF(L229&lt;Settings!$C$13,"OVERDUE",IF(L229&lt;=Settings!$C$13+Settings!C9,"AT RISK","OK"))))</f>
        <v/>
      </c>
      <c r="O229" s="91"/>
      <c r="P229" s="89"/>
      <c r="Q229" s="93"/>
      <c r="R229" s="93"/>
      <c r="S229" s="93"/>
      <c r="T229" s="93" t="str">
        <f aca="false">IF(AND(Q229&gt;0,R229&gt;0),Q229-R229,"")</f>
        <v/>
      </c>
      <c r="U229" s="94" t="str">
        <f aca="false">IFERROR(IF(AND(Q229&gt;0,R229&gt;0),(Q229-R229)/Q229,""),"")</f>
        <v/>
      </c>
      <c r="V229" s="90"/>
      <c r="W229" s="92"/>
      <c r="X229" s="89" t="str">
        <f aca="false">IF(AND(K229&lt;&gt;"",W229&lt;&gt;""),W229-K229,"")</f>
        <v/>
      </c>
      <c r="Y229" s="89" t="str">
        <f aca="false">IF(AND(X229&lt;&gt;"",X229&gt;0),IF(X229&lt;=Settings!C8,"Yes","No"),"")</f>
        <v/>
      </c>
      <c r="Z229" s="91"/>
      <c r="AA229" s="95"/>
      <c r="AB229" s="88" t="str">
        <f aca="false">IF(Z229&lt;&gt;"Closed","",IF(P229&gt;=Settings!$C$10,"OK","LOW"))</f>
        <v/>
      </c>
    </row>
    <row r="230" customFormat="false" ht="15.75" hidden="false" customHeight="true" outlineLevel="0" collapsed="false">
      <c r="B230" s="81" t="str">
        <f aca="false">IF(C230&lt;&gt;"",ROW()-11,"")</f>
        <v/>
      </c>
      <c r="C230" s="82"/>
      <c r="D230" s="82"/>
      <c r="E230" s="82"/>
      <c r="F230" s="82"/>
      <c r="G230" s="82"/>
      <c r="H230" s="83"/>
      <c r="I230" s="83"/>
      <c r="J230" s="82"/>
      <c r="K230" s="84"/>
      <c r="L230" s="84"/>
      <c r="M230" s="81" t="str">
        <f aca="false">IF(AND(L230&lt;&gt;"",Z230="Open"),L230-Settings!$C$13,"")</f>
        <v/>
      </c>
      <c r="N230" s="81" t="str">
        <f aca="false">IF(Z230&lt;&gt;"Open","",IF(L230="","",IF(L230&lt;Settings!$C$13,"OVERDUE",IF(L230&lt;=Settings!$C$13+Settings!C9,"AT RISK","OK"))))</f>
        <v/>
      </c>
      <c r="O230" s="83"/>
      <c r="P230" s="81"/>
      <c r="Q230" s="85"/>
      <c r="R230" s="85"/>
      <c r="S230" s="85"/>
      <c r="T230" s="85" t="str">
        <f aca="false">IF(AND(Q230&gt;0,R230&gt;0),Q230-R230,"")</f>
        <v/>
      </c>
      <c r="U230" s="86" t="str">
        <f aca="false">IFERROR(IF(AND(Q230&gt;0,R230&gt;0),(Q230-R230)/Q230,""),"")</f>
        <v/>
      </c>
      <c r="V230" s="82"/>
      <c r="W230" s="84"/>
      <c r="X230" s="81" t="str">
        <f aca="false">IF(AND(K230&lt;&gt;"",W230&lt;&gt;""),W230-K230,"")</f>
        <v/>
      </c>
      <c r="Y230" s="81" t="str">
        <f aca="false">IF(AND(X230&lt;&gt;"",X230&gt;0),IF(X230&lt;=Settings!C8,"Yes","No"),"")</f>
        <v/>
      </c>
      <c r="Z230" s="83"/>
      <c r="AA230" s="87"/>
      <c r="AB230" s="88" t="str">
        <f aca="false">IF(Z230&lt;&gt;"Closed","",IF(P230&gt;=Settings!$C$10,"OK","LOW"))</f>
        <v/>
      </c>
    </row>
    <row r="231" customFormat="false" ht="15.75" hidden="false" customHeight="true" outlineLevel="0" collapsed="false">
      <c r="B231" s="89" t="str">
        <f aca="false">IF(C231&lt;&gt;"",ROW()-11,"")</f>
        <v/>
      </c>
      <c r="C231" s="90"/>
      <c r="D231" s="90"/>
      <c r="E231" s="90"/>
      <c r="F231" s="90"/>
      <c r="G231" s="90"/>
      <c r="H231" s="91"/>
      <c r="I231" s="91"/>
      <c r="J231" s="90"/>
      <c r="K231" s="92"/>
      <c r="L231" s="92"/>
      <c r="M231" s="89" t="str">
        <f aca="false">IF(AND(L231&lt;&gt;"",Z231="Open"),L231-Settings!$C$13,"")</f>
        <v/>
      </c>
      <c r="N231" s="89" t="str">
        <f aca="false">IF(Z231&lt;&gt;"Open","",IF(L231="","",IF(L231&lt;Settings!$C$13,"OVERDUE",IF(L231&lt;=Settings!$C$13+Settings!C9,"AT RISK","OK"))))</f>
        <v/>
      </c>
      <c r="O231" s="91"/>
      <c r="P231" s="89"/>
      <c r="Q231" s="93"/>
      <c r="R231" s="93"/>
      <c r="S231" s="93"/>
      <c r="T231" s="93" t="str">
        <f aca="false">IF(AND(Q231&gt;0,R231&gt;0),Q231-R231,"")</f>
        <v/>
      </c>
      <c r="U231" s="94" t="str">
        <f aca="false">IFERROR(IF(AND(Q231&gt;0,R231&gt;0),(Q231-R231)/Q231,""),"")</f>
        <v/>
      </c>
      <c r="V231" s="90"/>
      <c r="W231" s="92"/>
      <c r="X231" s="89" t="str">
        <f aca="false">IF(AND(K231&lt;&gt;"",W231&lt;&gt;""),W231-K231,"")</f>
        <v/>
      </c>
      <c r="Y231" s="89" t="str">
        <f aca="false">IF(AND(X231&lt;&gt;"",X231&gt;0),IF(X231&lt;=Settings!C8,"Yes","No"),"")</f>
        <v/>
      </c>
      <c r="Z231" s="91"/>
      <c r="AA231" s="95"/>
      <c r="AB231" s="88" t="str">
        <f aca="false">IF(Z231&lt;&gt;"Closed","",IF(P231&gt;=Settings!$C$10,"OK","LOW"))</f>
        <v/>
      </c>
    </row>
    <row r="232" customFormat="false" ht="15.75" hidden="false" customHeight="true" outlineLevel="0" collapsed="false">
      <c r="B232" s="81" t="str">
        <f aca="false">IF(C232&lt;&gt;"",ROW()-11,"")</f>
        <v/>
      </c>
      <c r="C232" s="82"/>
      <c r="D232" s="82"/>
      <c r="E232" s="82"/>
      <c r="F232" s="82"/>
      <c r="G232" s="82"/>
      <c r="H232" s="83"/>
      <c r="I232" s="83"/>
      <c r="J232" s="82"/>
      <c r="K232" s="84"/>
      <c r="L232" s="84"/>
      <c r="M232" s="81" t="str">
        <f aca="false">IF(AND(L232&lt;&gt;"",Z232="Open"),L232-Settings!$C$13,"")</f>
        <v/>
      </c>
      <c r="N232" s="81" t="str">
        <f aca="false">IF(Z232&lt;&gt;"Open","",IF(L232="","",IF(L232&lt;Settings!$C$13,"OVERDUE",IF(L232&lt;=Settings!$C$13+Settings!C9,"AT RISK","OK"))))</f>
        <v/>
      </c>
      <c r="O232" s="83"/>
      <c r="P232" s="81"/>
      <c r="Q232" s="85"/>
      <c r="R232" s="85"/>
      <c r="S232" s="85"/>
      <c r="T232" s="85" t="str">
        <f aca="false">IF(AND(Q232&gt;0,R232&gt;0),Q232-R232,"")</f>
        <v/>
      </c>
      <c r="U232" s="86" t="str">
        <f aca="false">IFERROR(IF(AND(Q232&gt;0,R232&gt;0),(Q232-R232)/Q232,""),"")</f>
        <v/>
      </c>
      <c r="V232" s="82"/>
      <c r="W232" s="84"/>
      <c r="X232" s="81" t="str">
        <f aca="false">IF(AND(K232&lt;&gt;"",W232&lt;&gt;""),W232-K232,"")</f>
        <v/>
      </c>
      <c r="Y232" s="81" t="str">
        <f aca="false">IF(AND(X232&lt;&gt;"",X232&gt;0),IF(X232&lt;=Settings!C8,"Yes","No"),"")</f>
        <v/>
      </c>
      <c r="Z232" s="83"/>
      <c r="AA232" s="87"/>
      <c r="AB232" s="88" t="str">
        <f aca="false">IF(Z232&lt;&gt;"Closed","",IF(P232&gt;=Settings!$C$10,"OK","LOW"))</f>
        <v/>
      </c>
    </row>
    <row r="233" customFormat="false" ht="15.75" hidden="false" customHeight="true" outlineLevel="0" collapsed="false">
      <c r="B233" s="89" t="str">
        <f aca="false">IF(C233&lt;&gt;"",ROW()-11,"")</f>
        <v/>
      </c>
      <c r="C233" s="90"/>
      <c r="D233" s="90"/>
      <c r="E233" s="90"/>
      <c r="F233" s="90"/>
      <c r="G233" s="90"/>
      <c r="H233" s="91"/>
      <c r="I233" s="91"/>
      <c r="J233" s="90"/>
      <c r="K233" s="92"/>
      <c r="L233" s="92"/>
      <c r="M233" s="89" t="str">
        <f aca="false">IF(AND(L233&lt;&gt;"",Z233="Open"),L233-Settings!$C$13,"")</f>
        <v/>
      </c>
      <c r="N233" s="89" t="str">
        <f aca="false">IF(Z233&lt;&gt;"Open","",IF(L233="","",IF(L233&lt;Settings!$C$13,"OVERDUE",IF(L233&lt;=Settings!$C$13+Settings!C9,"AT RISK","OK"))))</f>
        <v/>
      </c>
      <c r="O233" s="91"/>
      <c r="P233" s="89"/>
      <c r="Q233" s="93"/>
      <c r="R233" s="93"/>
      <c r="S233" s="93"/>
      <c r="T233" s="93" t="str">
        <f aca="false">IF(AND(Q233&gt;0,R233&gt;0),Q233-R233,"")</f>
        <v/>
      </c>
      <c r="U233" s="94" t="str">
        <f aca="false">IFERROR(IF(AND(Q233&gt;0,R233&gt;0),(Q233-R233)/Q233,""),"")</f>
        <v/>
      </c>
      <c r="V233" s="90"/>
      <c r="W233" s="92"/>
      <c r="X233" s="89" t="str">
        <f aca="false">IF(AND(K233&lt;&gt;"",W233&lt;&gt;""),W233-K233,"")</f>
        <v/>
      </c>
      <c r="Y233" s="89" t="str">
        <f aca="false">IF(AND(X233&lt;&gt;"",X233&gt;0),IF(X233&lt;=Settings!C8,"Yes","No"),"")</f>
        <v/>
      </c>
      <c r="Z233" s="91"/>
      <c r="AA233" s="95"/>
      <c r="AB233" s="88" t="str">
        <f aca="false">IF(Z233&lt;&gt;"Closed","",IF(P233&gt;=Settings!$C$10,"OK","LOW"))</f>
        <v/>
      </c>
    </row>
    <row r="234" customFormat="false" ht="15.75" hidden="false" customHeight="true" outlineLevel="0" collapsed="false">
      <c r="B234" s="81" t="str">
        <f aca="false">IF(C234&lt;&gt;"",ROW()-11,"")</f>
        <v/>
      </c>
      <c r="C234" s="82"/>
      <c r="D234" s="82"/>
      <c r="E234" s="82"/>
      <c r="F234" s="82"/>
      <c r="G234" s="82"/>
      <c r="H234" s="83"/>
      <c r="I234" s="83"/>
      <c r="J234" s="82"/>
      <c r="K234" s="84"/>
      <c r="L234" s="84"/>
      <c r="M234" s="81" t="str">
        <f aca="false">IF(AND(L234&lt;&gt;"",Z234="Open"),L234-Settings!$C$13,"")</f>
        <v/>
      </c>
      <c r="N234" s="81" t="str">
        <f aca="false">IF(Z234&lt;&gt;"Open","",IF(L234="","",IF(L234&lt;Settings!$C$13,"OVERDUE",IF(L234&lt;=Settings!$C$13+Settings!C9,"AT RISK","OK"))))</f>
        <v/>
      </c>
      <c r="O234" s="83"/>
      <c r="P234" s="81"/>
      <c r="Q234" s="85"/>
      <c r="R234" s="85"/>
      <c r="S234" s="85"/>
      <c r="T234" s="85" t="str">
        <f aca="false">IF(AND(Q234&gt;0,R234&gt;0),Q234-R234,"")</f>
        <v/>
      </c>
      <c r="U234" s="86" t="str">
        <f aca="false">IFERROR(IF(AND(Q234&gt;0,R234&gt;0),(Q234-R234)/Q234,""),"")</f>
        <v/>
      </c>
      <c r="V234" s="82"/>
      <c r="W234" s="84"/>
      <c r="X234" s="81" t="str">
        <f aca="false">IF(AND(K234&lt;&gt;"",W234&lt;&gt;""),W234-K234,"")</f>
        <v/>
      </c>
      <c r="Y234" s="81" t="str">
        <f aca="false">IF(AND(X234&lt;&gt;"",X234&gt;0),IF(X234&lt;=Settings!C8,"Yes","No"),"")</f>
        <v/>
      </c>
      <c r="Z234" s="83"/>
      <c r="AA234" s="87"/>
      <c r="AB234" s="88" t="str">
        <f aca="false">IF(Z234&lt;&gt;"Closed","",IF(P234&gt;=Settings!$C$10,"OK","LOW"))</f>
        <v/>
      </c>
    </row>
    <row r="235" customFormat="false" ht="15.75" hidden="false" customHeight="true" outlineLevel="0" collapsed="false">
      <c r="B235" s="89" t="str">
        <f aca="false">IF(C235&lt;&gt;"",ROW()-11,"")</f>
        <v/>
      </c>
      <c r="C235" s="90"/>
      <c r="D235" s="90"/>
      <c r="E235" s="90"/>
      <c r="F235" s="90"/>
      <c r="G235" s="90"/>
      <c r="H235" s="91"/>
      <c r="I235" s="91"/>
      <c r="J235" s="90"/>
      <c r="K235" s="92"/>
      <c r="L235" s="92"/>
      <c r="M235" s="89" t="str">
        <f aca="false">IF(AND(L235&lt;&gt;"",Z235="Open"),L235-Settings!$C$13,"")</f>
        <v/>
      </c>
      <c r="N235" s="89" t="str">
        <f aca="false">IF(Z235&lt;&gt;"Open","",IF(L235="","",IF(L235&lt;Settings!$C$13,"OVERDUE",IF(L235&lt;=Settings!$C$13+Settings!C9,"AT RISK","OK"))))</f>
        <v/>
      </c>
      <c r="O235" s="91"/>
      <c r="P235" s="89"/>
      <c r="Q235" s="93"/>
      <c r="R235" s="93"/>
      <c r="S235" s="93"/>
      <c r="T235" s="93" t="str">
        <f aca="false">IF(AND(Q235&gt;0,R235&gt;0),Q235-R235,"")</f>
        <v/>
      </c>
      <c r="U235" s="94" t="str">
        <f aca="false">IFERROR(IF(AND(Q235&gt;0,R235&gt;0),(Q235-R235)/Q235,""),"")</f>
        <v/>
      </c>
      <c r="V235" s="90"/>
      <c r="W235" s="92"/>
      <c r="X235" s="89" t="str">
        <f aca="false">IF(AND(K235&lt;&gt;"",W235&lt;&gt;""),W235-K235,"")</f>
        <v/>
      </c>
      <c r="Y235" s="89" t="str">
        <f aca="false">IF(AND(X235&lt;&gt;"",X235&gt;0),IF(X235&lt;=Settings!C8,"Yes","No"),"")</f>
        <v/>
      </c>
      <c r="Z235" s="91"/>
      <c r="AA235" s="95"/>
      <c r="AB235" s="88" t="str">
        <f aca="false">IF(Z235&lt;&gt;"Closed","",IF(P235&gt;=Settings!$C$10,"OK","LOW"))</f>
        <v/>
      </c>
    </row>
    <row r="236" customFormat="false" ht="15.75" hidden="false" customHeight="true" outlineLevel="0" collapsed="false">
      <c r="B236" s="81" t="str">
        <f aca="false">IF(C236&lt;&gt;"",ROW()-11,"")</f>
        <v/>
      </c>
      <c r="C236" s="82"/>
      <c r="D236" s="82"/>
      <c r="E236" s="82"/>
      <c r="F236" s="82"/>
      <c r="G236" s="82"/>
      <c r="H236" s="83"/>
      <c r="I236" s="83"/>
      <c r="J236" s="82"/>
      <c r="K236" s="84"/>
      <c r="L236" s="84"/>
      <c r="M236" s="81" t="str">
        <f aca="false">IF(AND(L236&lt;&gt;"",Z236="Open"),L236-Settings!$C$13,"")</f>
        <v/>
      </c>
      <c r="N236" s="81" t="str">
        <f aca="false">IF(Z236&lt;&gt;"Open","",IF(L236="","",IF(L236&lt;Settings!$C$13,"OVERDUE",IF(L236&lt;=Settings!$C$13+Settings!C9,"AT RISK","OK"))))</f>
        <v/>
      </c>
      <c r="O236" s="83"/>
      <c r="P236" s="81"/>
      <c r="Q236" s="85"/>
      <c r="R236" s="85"/>
      <c r="S236" s="85"/>
      <c r="T236" s="85" t="str">
        <f aca="false">IF(AND(Q236&gt;0,R236&gt;0),Q236-R236,"")</f>
        <v/>
      </c>
      <c r="U236" s="86" t="str">
        <f aca="false">IFERROR(IF(AND(Q236&gt;0,R236&gt;0),(Q236-R236)/Q236,""),"")</f>
        <v/>
      </c>
      <c r="V236" s="82"/>
      <c r="W236" s="84"/>
      <c r="X236" s="81" t="str">
        <f aca="false">IF(AND(K236&lt;&gt;"",W236&lt;&gt;""),W236-K236,"")</f>
        <v/>
      </c>
      <c r="Y236" s="81" t="str">
        <f aca="false">IF(AND(X236&lt;&gt;"",X236&gt;0),IF(X236&lt;=Settings!C8,"Yes","No"),"")</f>
        <v/>
      </c>
      <c r="Z236" s="83"/>
      <c r="AA236" s="87"/>
      <c r="AB236" s="88" t="str">
        <f aca="false">IF(Z236&lt;&gt;"Closed","",IF(P236&gt;=Settings!$C$10,"OK","LOW"))</f>
        <v/>
      </c>
    </row>
    <row r="237" customFormat="false" ht="15.75" hidden="false" customHeight="true" outlineLevel="0" collapsed="false">
      <c r="B237" s="89" t="str">
        <f aca="false">IF(C237&lt;&gt;"",ROW()-11,"")</f>
        <v/>
      </c>
      <c r="C237" s="90"/>
      <c r="D237" s="90"/>
      <c r="E237" s="90"/>
      <c r="F237" s="90"/>
      <c r="G237" s="90"/>
      <c r="H237" s="91"/>
      <c r="I237" s="91"/>
      <c r="J237" s="90"/>
      <c r="K237" s="92"/>
      <c r="L237" s="92"/>
      <c r="M237" s="89" t="str">
        <f aca="false">IF(AND(L237&lt;&gt;"",Z237="Open"),L237-Settings!$C$13,"")</f>
        <v/>
      </c>
      <c r="N237" s="89" t="str">
        <f aca="false">IF(Z237&lt;&gt;"Open","",IF(L237="","",IF(L237&lt;Settings!$C$13,"OVERDUE",IF(L237&lt;=Settings!$C$13+Settings!C9,"AT RISK","OK"))))</f>
        <v/>
      </c>
      <c r="O237" s="91"/>
      <c r="P237" s="89"/>
      <c r="Q237" s="93"/>
      <c r="R237" s="93"/>
      <c r="S237" s="93"/>
      <c r="T237" s="93" t="str">
        <f aca="false">IF(AND(Q237&gt;0,R237&gt;0),Q237-R237,"")</f>
        <v/>
      </c>
      <c r="U237" s="94" t="str">
        <f aca="false">IFERROR(IF(AND(Q237&gt;0,R237&gt;0),(Q237-R237)/Q237,""),"")</f>
        <v/>
      </c>
      <c r="V237" s="90"/>
      <c r="W237" s="92"/>
      <c r="X237" s="89" t="str">
        <f aca="false">IF(AND(K237&lt;&gt;"",W237&lt;&gt;""),W237-K237,"")</f>
        <v/>
      </c>
      <c r="Y237" s="89" t="str">
        <f aca="false">IF(AND(X237&lt;&gt;"",X237&gt;0),IF(X237&lt;=Settings!C8,"Yes","No"),"")</f>
        <v/>
      </c>
      <c r="Z237" s="91"/>
      <c r="AA237" s="95"/>
      <c r="AB237" s="88" t="str">
        <f aca="false">IF(Z237&lt;&gt;"Closed","",IF(P237&gt;=Settings!$C$10,"OK","LOW"))</f>
        <v/>
      </c>
    </row>
    <row r="238" customFormat="false" ht="15.75" hidden="false" customHeight="true" outlineLevel="0" collapsed="false">
      <c r="B238" s="81" t="str">
        <f aca="false">IF(C238&lt;&gt;"",ROW()-11,"")</f>
        <v/>
      </c>
      <c r="C238" s="82"/>
      <c r="D238" s="82"/>
      <c r="E238" s="82"/>
      <c r="F238" s="82"/>
      <c r="G238" s="82"/>
      <c r="H238" s="83"/>
      <c r="I238" s="83"/>
      <c r="J238" s="82"/>
      <c r="K238" s="84"/>
      <c r="L238" s="84"/>
      <c r="M238" s="81" t="str">
        <f aca="false">IF(AND(L238&lt;&gt;"",Z238="Open"),L238-Settings!$C$13,"")</f>
        <v/>
      </c>
      <c r="N238" s="81" t="str">
        <f aca="false">IF(Z238&lt;&gt;"Open","",IF(L238="","",IF(L238&lt;Settings!$C$13,"OVERDUE",IF(L238&lt;=Settings!$C$13+Settings!C9,"AT RISK","OK"))))</f>
        <v/>
      </c>
      <c r="O238" s="83"/>
      <c r="P238" s="81"/>
      <c r="Q238" s="85"/>
      <c r="R238" s="85"/>
      <c r="S238" s="85"/>
      <c r="T238" s="85" t="str">
        <f aca="false">IF(AND(Q238&gt;0,R238&gt;0),Q238-R238,"")</f>
        <v/>
      </c>
      <c r="U238" s="86" t="str">
        <f aca="false">IFERROR(IF(AND(Q238&gt;0,R238&gt;0),(Q238-R238)/Q238,""),"")</f>
        <v/>
      </c>
      <c r="V238" s="82"/>
      <c r="W238" s="84"/>
      <c r="X238" s="81" t="str">
        <f aca="false">IF(AND(K238&lt;&gt;"",W238&lt;&gt;""),W238-K238,"")</f>
        <v/>
      </c>
      <c r="Y238" s="81" t="str">
        <f aca="false">IF(AND(X238&lt;&gt;"",X238&gt;0),IF(X238&lt;=Settings!C8,"Yes","No"),"")</f>
        <v/>
      </c>
      <c r="Z238" s="83"/>
      <c r="AA238" s="87"/>
      <c r="AB238" s="88" t="str">
        <f aca="false">IF(Z238&lt;&gt;"Closed","",IF(P238&gt;=Settings!$C$10,"OK","LOW"))</f>
        <v/>
      </c>
    </row>
    <row r="239" customFormat="false" ht="15.75" hidden="false" customHeight="true" outlineLevel="0" collapsed="false">
      <c r="B239" s="89" t="str">
        <f aca="false">IF(C239&lt;&gt;"",ROW()-11,"")</f>
        <v/>
      </c>
      <c r="C239" s="90"/>
      <c r="D239" s="90"/>
      <c r="E239" s="90"/>
      <c r="F239" s="90"/>
      <c r="G239" s="90"/>
      <c r="H239" s="91"/>
      <c r="I239" s="91"/>
      <c r="J239" s="90"/>
      <c r="K239" s="92"/>
      <c r="L239" s="92"/>
      <c r="M239" s="89" t="str">
        <f aca="false">IF(AND(L239&lt;&gt;"",Z239="Open"),L239-Settings!$C$13,"")</f>
        <v/>
      </c>
      <c r="N239" s="89" t="str">
        <f aca="false">IF(Z239&lt;&gt;"Open","",IF(L239="","",IF(L239&lt;Settings!$C$13,"OVERDUE",IF(L239&lt;=Settings!$C$13+Settings!C9,"AT RISK","OK"))))</f>
        <v/>
      </c>
      <c r="O239" s="91"/>
      <c r="P239" s="89"/>
      <c r="Q239" s="93"/>
      <c r="R239" s="93"/>
      <c r="S239" s="93"/>
      <c r="T239" s="93" t="str">
        <f aca="false">IF(AND(Q239&gt;0,R239&gt;0),Q239-R239,"")</f>
        <v/>
      </c>
      <c r="U239" s="94" t="str">
        <f aca="false">IFERROR(IF(AND(Q239&gt;0,R239&gt;0),(Q239-R239)/Q239,""),"")</f>
        <v/>
      </c>
      <c r="V239" s="90"/>
      <c r="W239" s="92"/>
      <c r="X239" s="89" t="str">
        <f aca="false">IF(AND(K239&lt;&gt;"",W239&lt;&gt;""),W239-K239,"")</f>
        <v/>
      </c>
      <c r="Y239" s="89" t="str">
        <f aca="false">IF(AND(X239&lt;&gt;"",X239&gt;0),IF(X239&lt;=Settings!C8,"Yes","No"),"")</f>
        <v/>
      </c>
      <c r="Z239" s="91"/>
      <c r="AA239" s="95"/>
      <c r="AB239" s="88" t="str">
        <f aca="false">IF(Z239&lt;&gt;"Closed","",IF(P239&gt;=Settings!$C$10,"OK","LOW"))</f>
        <v/>
      </c>
    </row>
    <row r="240" customFormat="false" ht="15.75" hidden="false" customHeight="true" outlineLevel="0" collapsed="false">
      <c r="B240" s="81" t="str">
        <f aca="false">IF(C240&lt;&gt;"",ROW()-11,"")</f>
        <v/>
      </c>
      <c r="C240" s="82"/>
      <c r="D240" s="82"/>
      <c r="E240" s="82"/>
      <c r="F240" s="82"/>
      <c r="G240" s="82"/>
      <c r="H240" s="83"/>
      <c r="I240" s="83"/>
      <c r="J240" s="82"/>
      <c r="K240" s="84"/>
      <c r="L240" s="84"/>
      <c r="M240" s="81" t="str">
        <f aca="false">IF(AND(L240&lt;&gt;"",Z240="Open"),L240-Settings!$C$13,"")</f>
        <v/>
      </c>
      <c r="N240" s="81" t="str">
        <f aca="false">IF(Z240&lt;&gt;"Open","",IF(L240="","",IF(L240&lt;Settings!$C$13,"OVERDUE",IF(L240&lt;=Settings!$C$13+Settings!C9,"AT RISK","OK"))))</f>
        <v/>
      </c>
      <c r="O240" s="83"/>
      <c r="P240" s="81"/>
      <c r="Q240" s="85"/>
      <c r="R240" s="85"/>
      <c r="S240" s="85"/>
      <c r="T240" s="85" t="str">
        <f aca="false">IF(AND(Q240&gt;0,R240&gt;0),Q240-R240,"")</f>
        <v/>
      </c>
      <c r="U240" s="86" t="str">
        <f aca="false">IFERROR(IF(AND(Q240&gt;0,R240&gt;0),(Q240-R240)/Q240,""),"")</f>
        <v/>
      </c>
      <c r="V240" s="82"/>
      <c r="W240" s="84"/>
      <c r="X240" s="81" t="str">
        <f aca="false">IF(AND(K240&lt;&gt;"",W240&lt;&gt;""),W240-K240,"")</f>
        <v/>
      </c>
      <c r="Y240" s="81" t="str">
        <f aca="false">IF(AND(X240&lt;&gt;"",X240&gt;0),IF(X240&lt;=Settings!C8,"Yes","No"),"")</f>
        <v/>
      </c>
      <c r="Z240" s="83"/>
      <c r="AA240" s="87"/>
      <c r="AB240" s="88" t="str">
        <f aca="false">IF(Z240&lt;&gt;"Closed","",IF(P240&gt;=Settings!$C$10,"OK","LOW"))</f>
        <v/>
      </c>
    </row>
    <row r="241" customFormat="false" ht="15.75" hidden="false" customHeight="true" outlineLevel="0" collapsed="false">
      <c r="B241" s="89" t="str">
        <f aca="false">IF(C241&lt;&gt;"",ROW()-11,"")</f>
        <v/>
      </c>
      <c r="C241" s="90"/>
      <c r="D241" s="90"/>
      <c r="E241" s="90"/>
      <c r="F241" s="90"/>
      <c r="G241" s="90"/>
      <c r="H241" s="91"/>
      <c r="I241" s="91"/>
      <c r="J241" s="90"/>
      <c r="K241" s="92"/>
      <c r="L241" s="92"/>
      <c r="M241" s="89" t="str">
        <f aca="false">IF(AND(L241&lt;&gt;"",Z241="Open"),L241-Settings!$C$13,"")</f>
        <v/>
      </c>
      <c r="N241" s="89" t="str">
        <f aca="false">IF(Z241&lt;&gt;"Open","",IF(L241="","",IF(L241&lt;Settings!$C$13,"OVERDUE",IF(L241&lt;=Settings!$C$13+Settings!C9,"AT RISK","OK"))))</f>
        <v/>
      </c>
      <c r="O241" s="91"/>
      <c r="P241" s="89"/>
      <c r="Q241" s="93"/>
      <c r="R241" s="93"/>
      <c r="S241" s="93"/>
      <c r="T241" s="93" t="str">
        <f aca="false">IF(AND(Q241&gt;0,R241&gt;0),Q241-R241,"")</f>
        <v/>
      </c>
      <c r="U241" s="94" t="str">
        <f aca="false">IFERROR(IF(AND(Q241&gt;0,R241&gt;0),(Q241-R241)/Q241,""),"")</f>
        <v/>
      </c>
      <c r="V241" s="90"/>
      <c r="W241" s="92"/>
      <c r="X241" s="89" t="str">
        <f aca="false">IF(AND(K241&lt;&gt;"",W241&lt;&gt;""),W241-K241,"")</f>
        <v/>
      </c>
      <c r="Y241" s="89" t="str">
        <f aca="false">IF(AND(X241&lt;&gt;"",X241&gt;0),IF(X241&lt;=Settings!C8,"Yes","No"),"")</f>
        <v/>
      </c>
      <c r="Z241" s="91"/>
      <c r="AA241" s="95"/>
      <c r="AB241" s="88" t="str">
        <f aca="false">IF(Z241&lt;&gt;"Closed","",IF(P241&gt;=Settings!$C$10,"OK","LOW"))</f>
        <v/>
      </c>
    </row>
    <row r="242" customFormat="false" ht="15.75" hidden="false" customHeight="true" outlineLevel="0" collapsed="false">
      <c r="B242" s="81" t="str">
        <f aca="false">IF(C242&lt;&gt;"",ROW()-11,"")</f>
        <v/>
      </c>
      <c r="C242" s="82"/>
      <c r="D242" s="82"/>
      <c r="E242" s="82"/>
      <c r="F242" s="82"/>
      <c r="G242" s="82"/>
      <c r="H242" s="83"/>
      <c r="I242" s="83"/>
      <c r="J242" s="82"/>
      <c r="K242" s="84"/>
      <c r="L242" s="84"/>
      <c r="M242" s="81" t="str">
        <f aca="false">IF(AND(L242&lt;&gt;"",Z242="Open"),L242-Settings!$C$13,"")</f>
        <v/>
      </c>
      <c r="N242" s="81" t="str">
        <f aca="false">IF(Z242&lt;&gt;"Open","",IF(L242="","",IF(L242&lt;Settings!$C$13,"OVERDUE",IF(L242&lt;=Settings!$C$13+Settings!C9,"AT RISK","OK"))))</f>
        <v/>
      </c>
      <c r="O242" s="83"/>
      <c r="P242" s="81"/>
      <c r="Q242" s="85"/>
      <c r="R242" s="85"/>
      <c r="S242" s="85"/>
      <c r="T242" s="85" t="str">
        <f aca="false">IF(AND(Q242&gt;0,R242&gt;0),Q242-R242,"")</f>
        <v/>
      </c>
      <c r="U242" s="86" t="str">
        <f aca="false">IFERROR(IF(AND(Q242&gt;0,R242&gt;0),(Q242-R242)/Q242,""),"")</f>
        <v/>
      </c>
      <c r="V242" s="82"/>
      <c r="W242" s="84"/>
      <c r="X242" s="81" t="str">
        <f aca="false">IF(AND(K242&lt;&gt;"",W242&lt;&gt;""),W242-K242,"")</f>
        <v/>
      </c>
      <c r="Y242" s="81" t="str">
        <f aca="false">IF(AND(X242&lt;&gt;"",X242&gt;0),IF(X242&lt;=Settings!C8,"Yes","No"),"")</f>
        <v/>
      </c>
      <c r="Z242" s="83"/>
      <c r="AA242" s="87"/>
      <c r="AB242" s="88" t="str">
        <f aca="false">IF(Z242&lt;&gt;"Closed","",IF(P242&gt;=Settings!$C$10,"OK","LOW"))</f>
        <v/>
      </c>
    </row>
    <row r="243" customFormat="false" ht="15.75" hidden="false" customHeight="true" outlineLevel="0" collapsed="false">
      <c r="B243" s="89" t="str">
        <f aca="false">IF(C243&lt;&gt;"",ROW()-11,"")</f>
        <v/>
      </c>
      <c r="C243" s="90"/>
      <c r="D243" s="90"/>
      <c r="E243" s="90"/>
      <c r="F243" s="90"/>
      <c r="G243" s="90"/>
      <c r="H243" s="91"/>
      <c r="I243" s="91"/>
      <c r="J243" s="90"/>
      <c r="K243" s="92"/>
      <c r="L243" s="92"/>
      <c r="M243" s="89" t="str">
        <f aca="false">IF(AND(L243&lt;&gt;"",Z243="Open"),L243-Settings!$C$13,"")</f>
        <v/>
      </c>
      <c r="N243" s="89" t="str">
        <f aca="false">IF(Z243&lt;&gt;"Open","",IF(L243="","",IF(L243&lt;Settings!$C$13,"OVERDUE",IF(L243&lt;=Settings!$C$13+Settings!C9,"AT RISK","OK"))))</f>
        <v/>
      </c>
      <c r="O243" s="91"/>
      <c r="P243" s="89"/>
      <c r="Q243" s="93"/>
      <c r="R243" s="93"/>
      <c r="S243" s="93"/>
      <c r="T243" s="93" t="str">
        <f aca="false">IF(AND(Q243&gt;0,R243&gt;0),Q243-R243,"")</f>
        <v/>
      </c>
      <c r="U243" s="94" t="str">
        <f aca="false">IFERROR(IF(AND(Q243&gt;0,R243&gt;0),(Q243-R243)/Q243,""),"")</f>
        <v/>
      </c>
      <c r="V243" s="90"/>
      <c r="W243" s="92"/>
      <c r="X243" s="89" t="str">
        <f aca="false">IF(AND(K243&lt;&gt;"",W243&lt;&gt;""),W243-K243,"")</f>
        <v/>
      </c>
      <c r="Y243" s="89" t="str">
        <f aca="false">IF(AND(X243&lt;&gt;"",X243&gt;0),IF(X243&lt;=Settings!C8,"Yes","No"),"")</f>
        <v/>
      </c>
      <c r="Z243" s="91"/>
      <c r="AA243" s="95"/>
      <c r="AB243" s="88" t="str">
        <f aca="false">IF(Z243&lt;&gt;"Closed","",IF(P243&gt;=Settings!$C$10,"OK","LOW"))</f>
        <v/>
      </c>
    </row>
    <row r="244" customFormat="false" ht="15.75" hidden="false" customHeight="true" outlineLevel="0" collapsed="false">
      <c r="B244" s="81" t="str">
        <f aca="false">IF(C244&lt;&gt;"",ROW()-11,"")</f>
        <v/>
      </c>
      <c r="C244" s="82"/>
      <c r="D244" s="82"/>
      <c r="E244" s="82"/>
      <c r="F244" s="82"/>
      <c r="G244" s="82"/>
      <c r="H244" s="83"/>
      <c r="I244" s="83"/>
      <c r="J244" s="82"/>
      <c r="K244" s="84"/>
      <c r="L244" s="84"/>
      <c r="M244" s="81" t="str">
        <f aca="false">IF(AND(L244&lt;&gt;"",Z244="Open"),L244-Settings!$C$13,"")</f>
        <v/>
      </c>
      <c r="N244" s="81" t="str">
        <f aca="false">IF(Z244&lt;&gt;"Open","",IF(L244="","",IF(L244&lt;Settings!$C$13,"OVERDUE",IF(L244&lt;=Settings!$C$13+Settings!C9,"AT RISK","OK"))))</f>
        <v/>
      </c>
      <c r="O244" s="83"/>
      <c r="P244" s="81"/>
      <c r="Q244" s="85"/>
      <c r="R244" s="85"/>
      <c r="S244" s="85"/>
      <c r="T244" s="85" t="str">
        <f aca="false">IF(AND(Q244&gt;0,R244&gt;0),Q244-R244,"")</f>
        <v/>
      </c>
      <c r="U244" s="86" t="str">
        <f aca="false">IFERROR(IF(AND(Q244&gt;0,R244&gt;0),(Q244-R244)/Q244,""),"")</f>
        <v/>
      </c>
      <c r="V244" s="82"/>
      <c r="W244" s="84"/>
      <c r="X244" s="81" t="str">
        <f aca="false">IF(AND(K244&lt;&gt;"",W244&lt;&gt;""),W244-K244,"")</f>
        <v/>
      </c>
      <c r="Y244" s="81" t="str">
        <f aca="false">IF(AND(X244&lt;&gt;"",X244&gt;0),IF(X244&lt;=Settings!C8,"Yes","No"),"")</f>
        <v/>
      </c>
      <c r="Z244" s="83"/>
      <c r="AA244" s="87"/>
      <c r="AB244" s="88" t="str">
        <f aca="false">IF(Z244&lt;&gt;"Closed","",IF(P244&gt;=Settings!$C$10,"OK","LOW"))</f>
        <v/>
      </c>
    </row>
    <row r="245" customFormat="false" ht="15.75" hidden="false" customHeight="true" outlineLevel="0" collapsed="false">
      <c r="B245" s="89" t="str">
        <f aca="false">IF(C245&lt;&gt;"",ROW()-11,"")</f>
        <v/>
      </c>
      <c r="C245" s="90"/>
      <c r="D245" s="90"/>
      <c r="E245" s="90"/>
      <c r="F245" s="90"/>
      <c r="G245" s="90"/>
      <c r="H245" s="91"/>
      <c r="I245" s="91"/>
      <c r="J245" s="90"/>
      <c r="K245" s="92"/>
      <c r="L245" s="92"/>
      <c r="M245" s="89" t="str">
        <f aca="false">IF(AND(L245&lt;&gt;"",Z245="Open"),L245-Settings!$C$13,"")</f>
        <v/>
      </c>
      <c r="N245" s="89" t="str">
        <f aca="false">IF(Z245&lt;&gt;"Open","",IF(L245="","",IF(L245&lt;Settings!$C$13,"OVERDUE",IF(L245&lt;=Settings!$C$13+Settings!C9,"AT RISK","OK"))))</f>
        <v/>
      </c>
      <c r="O245" s="91"/>
      <c r="P245" s="89"/>
      <c r="Q245" s="93"/>
      <c r="R245" s="93"/>
      <c r="S245" s="93"/>
      <c r="T245" s="93" t="str">
        <f aca="false">IF(AND(Q245&gt;0,R245&gt;0),Q245-R245,"")</f>
        <v/>
      </c>
      <c r="U245" s="94" t="str">
        <f aca="false">IFERROR(IF(AND(Q245&gt;0,R245&gt;0),(Q245-R245)/Q245,""),"")</f>
        <v/>
      </c>
      <c r="V245" s="90"/>
      <c r="W245" s="92"/>
      <c r="X245" s="89" t="str">
        <f aca="false">IF(AND(K245&lt;&gt;"",W245&lt;&gt;""),W245-K245,"")</f>
        <v/>
      </c>
      <c r="Y245" s="89" t="str">
        <f aca="false">IF(AND(X245&lt;&gt;"",X245&gt;0),IF(X245&lt;=Settings!C8,"Yes","No"),"")</f>
        <v/>
      </c>
      <c r="Z245" s="91"/>
      <c r="AA245" s="95"/>
      <c r="AB245" s="88" t="str">
        <f aca="false">IF(Z245&lt;&gt;"Closed","",IF(P245&gt;=Settings!$C$10,"OK","LOW"))</f>
        <v/>
      </c>
    </row>
    <row r="246" customFormat="false" ht="15.75" hidden="false" customHeight="true" outlineLevel="0" collapsed="false">
      <c r="B246" s="81" t="str">
        <f aca="false">IF(C246&lt;&gt;"",ROW()-11,"")</f>
        <v/>
      </c>
      <c r="C246" s="82"/>
      <c r="D246" s="82"/>
      <c r="E246" s="82"/>
      <c r="F246" s="82"/>
      <c r="G246" s="82"/>
      <c r="H246" s="83"/>
      <c r="I246" s="83"/>
      <c r="J246" s="82"/>
      <c r="K246" s="84"/>
      <c r="L246" s="84"/>
      <c r="M246" s="81" t="str">
        <f aca="false">IF(AND(L246&lt;&gt;"",Z246="Open"),L246-Settings!$C$13,"")</f>
        <v/>
      </c>
      <c r="N246" s="81" t="str">
        <f aca="false">IF(Z246&lt;&gt;"Open","",IF(L246="","",IF(L246&lt;Settings!$C$13,"OVERDUE",IF(L246&lt;=Settings!$C$13+Settings!C9,"AT RISK","OK"))))</f>
        <v/>
      </c>
      <c r="O246" s="83"/>
      <c r="P246" s="81"/>
      <c r="Q246" s="85"/>
      <c r="R246" s="85"/>
      <c r="S246" s="85"/>
      <c r="T246" s="85" t="str">
        <f aca="false">IF(AND(Q246&gt;0,R246&gt;0),Q246-R246,"")</f>
        <v/>
      </c>
      <c r="U246" s="86" t="str">
        <f aca="false">IFERROR(IF(AND(Q246&gt;0,R246&gt;0),(Q246-R246)/Q246,""),"")</f>
        <v/>
      </c>
      <c r="V246" s="82"/>
      <c r="W246" s="84"/>
      <c r="X246" s="81" t="str">
        <f aca="false">IF(AND(K246&lt;&gt;"",W246&lt;&gt;""),W246-K246,"")</f>
        <v/>
      </c>
      <c r="Y246" s="81" t="str">
        <f aca="false">IF(AND(X246&lt;&gt;"",X246&gt;0),IF(X246&lt;=Settings!C8,"Yes","No"),"")</f>
        <v/>
      </c>
      <c r="Z246" s="83"/>
      <c r="AA246" s="87"/>
      <c r="AB246" s="88" t="str">
        <f aca="false">IF(Z246&lt;&gt;"Closed","",IF(P246&gt;=Settings!$C$10,"OK","LOW"))</f>
        <v/>
      </c>
    </row>
    <row r="247" customFormat="false" ht="15.75" hidden="false" customHeight="true" outlineLevel="0" collapsed="false">
      <c r="B247" s="89" t="str">
        <f aca="false">IF(C247&lt;&gt;"",ROW()-11,"")</f>
        <v/>
      </c>
      <c r="C247" s="90"/>
      <c r="D247" s="90"/>
      <c r="E247" s="90"/>
      <c r="F247" s="90"/>
      <c r="G247" s="90"/>
      <c r="H247" s="91"/>
      <c r="I247" s="91"/>
      <c r="J247" s="90"/>
      <c r="K247" s="92"/>
      <c r="L247" s="92"/>
      <c r="M247" s="89" t="str">
        <f aca="false">IF(AND(L247&lt;&gt;"",Z247="Open"),L247-Settings!$C$13,"")</f>
        <v/>
      </c>
      <c r="N247" s="89" t="str">
        <f aca="false">IF(Z247&lt;&gt;"Open","",IF(L247="","",IF(L247&lt;Settings!$C$13,"OVERDUE",IF(L247&lt;=Settings!$C$13+Settings!C9,"AT RISK","OK"))))</f>
        <v/>
      </c>
      <c r="O247" s="91"/>
      <c r="P247" s="89"/>
      <c r="Q247" s="93"/>
      <c r="R247" s="93"/>
      <c r="S247" s="93"/>
      <c r="T247" s="93" t="str">
        <f aca="false">IF(AND(Q247&gt;0,R247&gt;0),Q247-R247,"")</f>
        <v/>
      </c>
      <c r="U247" s="94" t="str">
        <f aca="false">IFERROR(IF(AND(Q247&gt;0,R247&gt;0),(Q247-R247)/Q247,""),"")</f>
        <v/>
      </c>
      <c r="V247" s="90"/>
      <c r="W247" s="92"/>
      <c r="X247" s="89" t="str">
        <f aca="false">IF(AND(K247&lt;&gt;"",W247&lt;&gt;""),W247-K247,"")</f>
        <v/>
      </c>
      <c r="Y247" s="89" t="str">
        <f aca="false">IF(AND(X247&lt;&gt;"",X247&gt;0),IF(X247&lt;=Settings!C8,"Yes","No"),"")</f>
        <v/>
      </c>
      <c r="Z247" s="91"/>
      <c r="AA247" s="95"/>
      <c r="AB247" s="88" t="str">
        <f aca="false">IF(Z247&lt;&gt;"Closed","",IF(P247&gt;=Settings!$C$10,"OK","LOW"))</f>
        <v/>
      </c>
    </row>
    <row r="248" customFormat="false" ht="15.75" hidden="false" customHeight="true" outlineLevel="0" collapsed="false">
      <c r="B248" s="81" t="str">
        <f aca="false">IF(C248&lt;&gt;"",ROW()-11,"")</f>
        <v/>
      </c>
      <c r="C248" s="82"/>
      <c r="D248" s="82"/>
      <c r="E248" s="82"/>
      <c r="F248" s="82"/>
      <c r="G248" s="82"/>
      <c r="H248" s="83"/>
      <c r="I248" s="83"/>
      <c r="J248" s="82"/>
      <c r="K248" s="84"/>
      <c r="L248" s="84"/>
      <c r="M248" s="81" t="str">
        <f aca="false">IF(AND(L248&lt;&gt;"",Z248="Open"),L248-Settings!$C$13,"")</f>
        <v/>
      </c>
      <c r="N248" s="81" t="str">
        <f aca="false">IF(Z248&lt;&gt;"Open","",IF(L248="","",IF(L248&lt;Settings!$C$13,"OVERDUE",IF(L248&lt;=Settings!$C$13+Settings!C9,"AT RISK","OK"))))</f>
        <v/>
      </c>
      <c r="O248" s="83"/>
      <c r="P248" s="81"/>
      <c r="Q248" s="85"/>
      <c r="R248" s="85"/>
      <c r="S248" s="85"/>
      <c r="T248" s="85" t="str">
        <f aca="false">IF(AND(Q248&gt;0,R248&gt;0),Q248-R248,"")</f>
        <v/>
      </c>
      <c r="U248" s="86" t="str">
        <f aca="false">IFERROR(IF(AND(Q248&gt;0,R248&gt;0),(Q248-R248)/Q248,""),"")</f>
        <v/>
      </c>
      <c r="V248" s="82"/>
      <c r="W248" s="84"/>
      <c r="X248" s="81" t="str">
        <f aca="false">IF(AND(K248&lt;&gt;"",W248&lt;&gt;""),W248-K248,"")</f>
        <v/>
      </c>
      <c r="Y248" s="81" t="str">
        <f aca="false">IF(AND(X248&lt;&gt;"",X248&gt;0),IF(X248&lt;=Settings!C8,"Yes","No"),"")</f>
        <v/>
      </c>
      <c r="Z248" s="83"/>
      <c r="AA248" s="87"/>
      <c r="AB248" s="88" t="str">
        <f aca="false">IF(Z248&lt;&gt;"Closed","",IF(P248&gt;=Settings!$C$10,"OK","LOW"))</f>
        <v/>
      </c>
    </row>
    <row r="249" customFormat="false" ht="15.75" hidden="false" customHeight="true" outlineLevel="0" collapsed="false">
      <c r="B249" s="89" t="str">
        <f aca="false">IF(C249&lt;&gt;"",ROW()-11,"")</f>
        <v/>
      </c>
      <c r="C249" s="90"/>
      <c r="D249" s="90"/>
      <c r="E249" s="90"/>
      <c r="F249" s="90"/>
      <c r="G249" s="90"/>
      <c r="H249" s="91"/>
      <c r="I249" s="91"/>
      <c r="J249" s="90"/>
      <c r="K249" s="92"/>
      <c r="L249" s="92"/>
      <c r="M249" s="89" t="str">
        <f aca="false">IF(AND(L249&lt;&gt;"",Z249="Open"),L249-Settings!$C$13,"")</f>
        <v/>
      </c>
      <c r="N249" s="89" t="str">
        <f aca="false">IF(Z249&lt;&gt;"Open","",IF(L249="","",IF(L249&lt;Settings!$C$13,"OVERDUE",IF(L249&lt;=Settings!$C$13+Settings!C9,"AT RISK","OK"))))</f>
        <v/>
      </c>
      <c r="O249" s="91"/>
      <c r="P249" s="89"/>
      <c r="Q249" s="93"/>
      <c r="R249" s="93"/>
      <c r="S249" s="93"/>
      <c r="T249" s="93" t="str">
        <f aca="false">IF(AND(Q249&gt;0,R249&gt;0),Q249-R249,"")</f>
        <v/>
      </c>
      <c r="U249" s="94" t="str">
        <f aca="false">IFERROR(IF(AND(Q249&gt;0,R249&gt;0),(Q249-R249)/Q249,""),"")</f>
        <v/>
      </c>
      <c r="V249" s="90"/>
      <c r="W249" s="92"/>
      <c r="X249" s="89" t="str">
        <f aca="false">IF(AND(K249&lt;&gt;"",W249&lt;&gt;""),W249-K249,"")</f>
        <v/>
      </c>
      <c r="Y249" s="89" t="str">
        <f aca="false">IF(AND(X249&lt;&gt;"",X249&gt;0),IF(X249&lt;=Settings!C8,"Yes","No"),"")</f>
        <v/>
      </c>
      <c r="Z249" s="91"/>
      <c r="AA249" s="95"/>
      <c r="AB249" s="88" t="str">
        <f aca="false">IF(Z249&lt;&gt;"Closed","",IF(P249&gt;=Settings!$C$10,"OK","LOW"))</f>
        <v/>
      </c>
    </row>
    <row r="250" customFormat="false" ht="15.75" hidden="false" customHeight="true" outlineLevel="0" collapsed="false">
      <c r="B250" s="81" t="str">
        <f aca="false">IF(C250&lt;&gt;"",ROW()-11,"")</f>
        <v/>
      </c>
      <c r="C250" s="82"/>
      <c r="D250" s="82"/>
      <c r="E250" s="82"/>
      <c r="F250" s="82"/>
      <c r="G250" s="82"/>
      <c r="H250" s="83"/>
      <c r="I250" s="83"/>
      <c r="J250" s="82"/>
      <c r="K250" s="84"/>
      <c r="L250" s="84"/>
      <c r="M250" s="81" t="str">
        <f aca="false">IF(AND(L250&lt;&gt;"",Z250="Open"),L250-Settings!$C$13,"")</f>
        <v/>
      </c>
      <c r="N250" s="81" t="str">
        <f aca="false">IF(Z250&lt;&gt;"Open","",IF(L250="","",IF(L250&lt;Settings!$C$13,"OVERDUE",IF(L250&lt;=Settings!$C$13+Settings!C9,"AT RISK","OK"))))</f>
        <v/>
      </c>
      <c r="O250" s="83"/>
      <c r="P250" s="81"/>
      <c r="Q250" s="85"/>
      <c r="R250" s="85"/>
      <c r="S250" s="85"/>
      <c r="T250" s="85" t="str">
        <f aca="false">IF(AND(Q250&gt;0,R250&gt;0),Q250-R250,"")</f>
        <v/>
      </c>
      <c r="U250" s="86" t="str">
        <f aca="false">IFERROR(IF(AND(Q250&gt;0,R250&gt;0),(Q250-R250)/Q250,""),"")</f>
        <v/>
      </c>
      <c r="V250" s="82"/>
      <c r="W250" s="84"/>
      <c r="X250" s="81" t="str">
        <f aca="false">IF(AND(K250&lt;&gt;"",W250&lt;&gt;""),W250-K250,"")</f>
        <v/>
      </c>
      <c r="Y250" s="81" t="str">
        <f aca="false">IF(AND(X250&lt;&gt;"",X250&gt;0),IF(X250&lt;=Settings!C8,"Yes","No"),"")</f>
        <v/>
      </c>
      <c r="Z250" s="83"/>
      <c r="AA250" s="87"/>
      <c r="AB250" s="88" t="str">
        <f aca="false">IF(Z250&lt;&gt;"Closed","",IF(P250&gt;=Settings!$C$10,"OK","LOW"))</f>
        <v/>
      </c>
    </row>
    <row r="251" customFormat="false" ht="15.75" hidden="false" customHeight="true" outlineLevel="0" collapsed="false">
      <c r="B251" s="89" t="str">
        <f aca="false">IF(C251&lt;&gt;"",ROW()-11,"")</f>
        <v/>
      </c>
      <c r="C251" s="90"/>
      <c r="D251" s="90"/>
      <c r="E251" s="90"/>
      <c r="F251" s="90"/>
      <c r="G251" s="90"/>
      <c r="H251" s="91"/>
      <c r="I251" s="91"/>
      <c r="J251" s="90"/>
      <c r="K251" s="92"/>
      <c r="L251" s="92"/>
      <c r="M251" s="89" t="str">
        <f aca="false">IF(AND(L251&lt;&gt;"",Z251="Open"),L251-Settings!$C$13,"")</f>
        <v/>
      </c>
      <c r="N251" s="89" t="str">
        <f aca="false">IF(Z251&lt;&gt;"Open","",IF(L251="","",IF(L251&lt;Settings!$C$13,"OVERDUE",IF(L251&lt;=Settings!$C$13+Settings!C9,"AT RISK","OK"))))</f>
        <v/>
      </c>
      <c r="O251" s="91"/>
      <c r="P251" s="89"/>
      <c r="Q251" s="93"/>
      <c r="R251" s="93"/>
      <c r="S251" s="93"/>
      <c r="T251" s="93" t="str">
        <f aca="false">IF(AND(Q251&gt;0,R251&gt;0),Q251-R251,"")</f>
        <v/>
      </c>
      <c r="U251" s="94" t="str">
        <f aca="false">IFERROR(IF(AND(Q251&gt;0,R251&gt;0),(Q251-R251)/Q251,""),"")</f>
        <v/>
      </c>
      <c r="V251" s="90"/>
      <c r="W251" s="92"/>
      <c r="X251" s="89" t="str">
        <f aca="false">IF(AND(K251&lt;&gt;"",W251&lt;&gt;""),W251-K251,"")</f>
        <v/>
      </c>
      <c r="Y251" s="89" t="str">
        <f aca="false">IF(AND(X251&lt;&gt;"",X251&gt;0),IF(X251&lt;=Settings!C8,"Yes","No"),"")</f>
        <v/>
      </c>
      <c r="Z251" s="91"/>
      <c r="AA251" s="95"/>
      <c r="AB251" s="88" t="str">
        <f aca="false">IF(Z251&lt;&gt;"Closed","",IF(P251&gt;=Settings!$C$10,"OK","LOW"))</f>
        <v/>
      </c>
    </row>
    <row r="252" customFormat="false" ht="15.75" hidden="false" customHeight="true" outlineLevel="0" collapsed="false">
      <c r="B252" s="81" t="str">
        <f aca="false">IF(C252&lt;&gt;"",ROW()-11,"")</f>
        <v/>
      </c>
      <c r="C252" s="82"/>
      <c r="D252" s="82"/>
      <c r="E252" s="82"/>
      <c r="F252" s="82"/>
      <c r="G252" s="82"/>
      <c r="H252" s="83"/>
      <c r="I252" s="83"/>
      <c r="J252" s="82"/>
      <c r="K252" s="84"/>
      <c r="L252" s="84"/>
      <c r="M252" s="81" t="str">
        <f aca="false">IF(AND(L252&lt;&gt;"",Z252="Open"),L252-Settings!$C$13,"")</f>
        <v/>
      </c>
      <c r="N252" s="81" t="str">
        <f aca="false">IF(Z252&lt;&gt;"Open","",IF(L252="","",IF(L252&lt;Settings!$C$13,"OVERDUE",IF(L252&lt;=Settings!$C$13+Settings!C9,"AT RISK","OK"))))</f>
        <v/>
      </c>
      <c r="O252" s="83"/>
      <c r="P252" s="81"/>
      <c r="Q252" s="85"/>
      <c r="R252" s="85"/>
      <c r="S252" s="85"/>
      <c r="T252" s="85" t="str">
        <f aca="false">IF(AND(Q252&gt;0,R252&gt;0),Q252-R252,"")</f>
        <v/>
      </c>
      <c r="U252" s="86" t="str">
        <f aca="false">IFERROR(IF(AND(Q252&gt;0,R252&gt;0),(Q252-R252)/Q252,""),"")</f>
        <v/>
      </c>
      <c r="V252" s="82"/>
      <c r="W252" s="84"/>
      <c r="X252" s="81" t="str">
        <f aca="false">IF(AND(K252&lt;&gt;"",W252&lt;&gt;""),W252-K252,"")</f>
        <v/>
      </c>
      <c r="Y252" s="81" t="str">
        <f aca="false">IF(AND(X252&lt;&gt;"",X252&gt;0),IF(X252&lt;=Settings!C8,"Yes","No"),"")</f>
        <v/>
      </c>
      <c r="Z252" s="83"/>
      <c r="AA252" s="87"/>
      <c r="AB252" s="88" t="str">
        <f aca="false">IF(Z252&lt;&gt;"Closed","",IF(P252&gt;=Settings!$C$10,"OK","LOW"))</f>
        <v/>
      </c>
    </row>
    <row r="253" customFormat="false" ht="15.75" hidden="false" customHeight="true" outlineLevel="0" collapsed="false">
      <c r="B253" s="89" t="str">
        <f aca="false">IF(C253&lt;&gt;"",ROW()-11,"")</f>
        <v/>
      </c>
      <c r="C253" s="90"/>
      <c r="D253" s="90"/>
      <c r="E253" s="90"/>
      <c r="F253" s="90"/>
      <c r="G253" s="90"/>
      <c r="H253" s="91"/>
      <c r="I253" s="91"/>
      <c r="J253" s="90"/>
      <c r="K253" s="92"/>
      <c r="L253" s="92"/>
      <c r="M253" s="89" t="str">
        <f aca="false">IF(AND(L253&lt;&gt;"",Z253="Open"),L253-Settings!$C$13,"")</f>
        <v/>
      </c>
      <c r="N253" s="89" t="str">
        <f aca="false">IF(Z253&lt;&gt;"Open","",IF(L253="","",IF(L253&lt;Settings!$C$13,"OVERDUE",IF(L253&lt;=Settings!$C$13+Settings!C9,"AT RISK","OK"))))</f>
        <v/>
      </c>
      <c r="O253" s="91"/>
      <c r="P253" s="89"/>
      <c r="Q253" s="93"/>
      <c r="R253" s="93"/>
      <c r="S253" s="93"/>
      <c r="T253" s="93" t="str">
        <f aca="false">IF(AND(Q253&gt;0,R253&gt;0),Q253-R253,"")</f>
        <v/>
      </c>
      <c r="U253" s="94" t="str">
        <f aca="false">IFERROR(IF(AND(Q253&gt;0,R253&gt;0),(Q253-R253)/Q253,""),"")</f>
        <v/>
      </c>
      <c r="V253" s="90"/>
      <c r="W253" s="92"/>
      <c r="X253" s="89" t="str">
        <f aca="false">IF(AND(K253&lt;&gt;"",W253&lt;&gt;""),W253-K253,"")</f>
        <v/>
      </c>
      <c r="Y253" s="89" t="str">
        <f aca="false">IF(AND(X253&lt;&gt;"",X253&gt;0),IF(X253&lt;=Settings!C8,"Yes","No"),"")</f>
        <v/>
      </c>
      <c r="Z253" s="91"/>
      <c r="AA253" s="95"/>
      <c r="AB253" s="88" t="str">
        <f aca="false">IF(Z253&lt;&gt;"Closed","",IF(P253&gt;=Settings!$C$10,"OK","LOW"))</f>
        <v/>
      </c>
    </row>
    <row r="254" customFormat="false" ht="15.75" hidden="false" customHeight="true" outlineLevel="0" collapsed="false">
      <c r="B254" s="81" t="str">
        <f aca="false">IF(C254&lt;&gt;"",ROW()-11,"")</f>
        <v/>
      </c>
      <c r="C254" s="82"/>
      <c r="D254" s="82"/>
      <c r="E254" s="82"/>
      <c r="F254" s="82"/>
      <c r="G254" s="82"/>
      <c r="H254" s="83"/>
      <c r="I254" s="83"/>
      <c r="J254" s="82"/>
      <c r="K254" s="84"/>
      <c r="L254" s="84"/>
      <c r="M254" s="81" t="str">
        <f aca="false">IF(AND(L254&lt;&gt;"",Z254="Open"),L254-Settings!$C$13,"")</f>
        <v/>
      </c>
      <c r="N254" s="81" t="str">
        <f aca="false">IF(Z254&lt;&gt;"Open","",IF(L254="","",IF(L254&lt;Settings!$C$13,"OVERDUE",IF(L254&lt;=Settings!$C$13+Settings!C9,"AT RISK","OK"))))</f>
        <v/>
      </c>
      <c r="O254" s="83"/>
      <c r="P254" s="81"/>
      <c r="Q254" s="85"/>
      <c r="R254" s="85"/>
      <c r="S254" s="85"/>
      <c r="T254" s="85" t="str">
        <f aca="false">IF(AND(Q254&gt;0,R254&gt;0),Q254-R254,"")</f>
        <v/>
      </c>
      <c r="U254" s="86" t="str">
        <f aca="false">IFERROR(IF(AND(Q254&gt;0,R254&gt;0),(Q254-R254)/Q254,""),"")</f>
        <v/>
      </c>
      <c r="V254" s="82"/>
      <c r="W254" s="84"/>
      <c r="X254" s="81" t="str">
        <f aca="false">IF(AND(K254&lt;&gt;"",W254&lt;&gt;""),W254-K254,"")</f>
        <v/>
      </c>
      <c r="Y254" s="81" t="str">
        <f aca="false">IF(AND(X254&lt;&gt;"",X254&gt;0),IF(X254&lt;=Settings!C8,"Yes","No"),"")</f>
        <v/>
      </c>
      <c r="Z254" s="83"/>
      <c r="AA254" s="87"/>
      <c r="AB254" s="88" t="str">
        <f aca="false">IF(Z254&lt;&gt;"Closed","",IF(P254&gt;=Settings!$C$10,"OK","LOW"))</f>
        <v/>
      </c>
    </row>
    <row r="255" customFormat="false" ht="15.75" hidden="false" customHeight="true" outlineLevel="0" collapsed="false">
      <c r="B255" s="89" t="str">
        <f aca="false">IF(C255&lt;&gt;"",ROW()-11,"")</f>
        <v/>
      </c>
      <c r="C255" s="90"/>
      <c r="D255" s="90"/>
      <c r="E255" s="90"/>
      <c r="F255" s="90"/>
      <c r="G255" s="90"/>
      <c r="H255" s="91"/>
      <c r="I255" s="91"/>
      <c r="J255" s="90"/>
      <c r="K255" s="92"/>
      <c r="L255" s="92"/>
      <c r="M255" s="89" t="str">
        <f aca="false">IF(AND(L255&lt;&gt;"",Z255="Open"),L255-Settings!$C$13,"")</f>
        <v/>
      </c>
      <c r="N255" s="89" t="str">
        <f aca="false">IF(Z255&lt;&gt;"Open","",IF(L255="","",IF(L255&lt;Settings!$C$13,"OVERDUE",IF(L255&lt;=Settings!$C$13+Settings!C9,"AT RISK","OK"))))</f>
        <v/>
      </c>
      <c r="O255" s="91"/>
      <c r="P255" s="89"/>
      <c r="Q255" s="93"/>
      <c r="R255" s="93"/>
      <c r="S255" s="93"/>
      <c r="T255" s="93" t="str">
        <f aca="false">IF(AND(Q255&gt;0,R255&gt;0),Q255-R255,"")</f>
        <v/>
      </c>
      <c r="U255" s="94" t="str">
        <f aca="false">IFERROR(IF(AND(Q255&gt;0,R255&gt;0),(Q255-R255)/Q255,""),"")</f>
        <v/>
      </c>
      <c r="V255" s="90"/>
      <c r="W255" s="92"/>
      <c r="X255" s="89" t="str">
        <f aca="false">IF(AND(K255&lt;&gt;"",W255&lt;&gt;""),W255-K255,"")</f>
        <v/>
      </c>
      <c r="Y255" s="89" t="str">
        <f aca="false">IF(AND(X255&lt;&gt;"",X255&gt;0),IF(X255&lt;=Settings!C8,"Yes","No"),"")</f>
        <v/>
      </c>
      <c r="Z255" s="91"/>
      <c r="AA255" s="95"/>
      <c r="AB255" s="88" t="str">
        <f aca="false">IF(Z255&lt;&gt;"Closed","",IF(P255&gt;=Settings!$C$10,"OK","LOW"))</f>
        <v/>
      </c>
    </row>
    <row r="256" customFormat="false" ht="15.75" hidden="false" customHeight="true" outlineLevel="0" collapsed="false">
      <c r="B256" s="81" t="str">
        <f aca="false">IF(C256&lt;&gt;"",ROW()-11,"")</f>
        <v/>
      </c>
      <c r="C256" s="82"/>
      <c r="D256" s="82"/>
      <c r="E256" s="82"/>
      <c r="F256" s="82"/>
      <c r="G256" s="82"/>
      <c r="H256" s="83"/>
      <c r="I256" s="83"/>
      <c r="J256" s="82"/>
      <c r="K256" s="84"/>
      <c r="L256" s="84"/>
      <c r="M256" s="81" t="str">
        <f aca="false">IF(AND(L256&lt;&gt;"",Z256="Open"),L256-Settings!$C$13,"")</f>
        <v/>
      </c>
      <c r="N256" s="81" t="str">
        <f aca="false">IF(Z256&lt;&gt;"Open","",IF(L256="","",IF(L256&lt;Settings!$C$13,"OVERDUE",IF(L256&lt;=Settings!$C$13+Settings!C9,"AT RISK","OK"))))</f>
        <v/>
      </c>
      <c r="O256" s="83"/>
      <c r="P256" s="81"/>
      <c r="Q256" s="85"/>
      <c r="R256" s="85"/>
      <c r="S256" s="85"/>
      <c r="T256" s="85" t="str">
        <f aca="false">IF(AND(Q256&gt;0,R256&gt;0),Q256-R256,"")</f>
        <v/>
      </c>
      <c r="U256" s="86" t="str">
        <f aca="false">IFERROR(IF(AND(Q256&gt;0,R256&gt;0),(Q256-R256)/Q256,""),"")</f>
        <v/>
      </c>
      <c r="V256" s="82"/>
      <c r="W256" s="84"/>
      <c r="X256" s="81" t="str">
        <f aca="false">IF(AND(K256&lt;&gt;"",W256&lt;&gt;""),W256-K256,"")</f>
        <v/>
      </c>
      <c r="Y256" s="81" t="str">
        <f aca="false">IF(AND(X256&lt;&gt;"",X256&gt;0),IF(X256&lt;=Settings!C8,"Yes","No"),"")</f>
        <v/>
      </c>
      <c r="Z256" s="83"/>
      <c r="AA256" s="87"/>
      <c r="AB256" s="88" t="str">
        <f aca="false">IF(Z256&lt;&gt;"Closed","",IF(P256&gt;=Settings!$C$10,"OK","LOW"))</f>
        <v/>
      </c>
    </row>
    <row r="257" customFormat="false" ht="15.75" hidden="false" customHeight="true" outlineLevel="0" collapsed="false">
      <c r="B257" s="89" t="str">
        <f aca="false">IF(C257&lt;&gt;"",ROW()-11,"")</f>
        <v/>
      </c>
      <c r="C257" s="90"/>
      <c r="D257" s="90"/>
      <c r="E257" s="90"/>
      <c r="F257" s="90"/>
      <c r="G257" s="90"/>
      <c r="H257" s="91"/>
      <c r="I257" s="91"/>
      <c r="J257" s="90"/>
      <c r="K257" s="92"/>
      <c r="L257" s="92"/>
      <c r="M257" s="89" t="str">
        <f aca="false">IF(AND(L257&lt;&gt;"",Z257="Open"),L257-Settings!$C$13,"")</f>
        <v/>
      </c>
      <c r="N257" s="89" t="str">
        <f aca="false">IF(Z257&lt;&gt;"Open","",IF(L257="","",IF(L257&lt;Settings!$C$13,"OVERDUE",IF(L257&lt;=Settings!$C$13+Settings!C9,"AT RISK","OK"))))</f>
        <v/>
      </c>
      <c r="O257" s="91"/>
      <c r="P257" s="89"/>
      <c r="Q257" s="93"/>
      <c r="R257" s="93"/>
      <c r="S257" s="93"/>
      <c r="T257" s="93" t="str">
        <f aca="false">IF(AND(Q257&gt;0,R257&gt;0),Q257-R257,"")</f>
        <v/>
      </c>
      <c r="U257" s="94" t="str">
        <f aca="false">IFERROR(IF(AND(Q257&gt;0,R257&gt;0),(Q257-R257)/Q257,""),"")</f>
        <v/>
      </c>
      <c r="V257" s="90"/>
      <c r="W257" s="92"/>
      <c r="X257" s="89" t="str">
        <f aca="false">IF(AND(K257&lt;&gt;"",W257&lt;&gt;""),W257-K257,"")</f>
        <v/>
      </c>
      <c r="Y257" s="89" t="str">
        <f aca="false">IF(AND(X257&lt;&gt;"",X257&gt;0),IF(X257&lt;=Settings!C8,"Yes","No"),"")</f>
        <v/>
      </c>
      <c r="Z257" s="91"/>
      <c r="AA257" s="95"/>
      <c r="AB257" s="88" t="str">
        <f aca="false">IF(Z257&lt;&gt;"Closed","",IF(P257&gt;=Settings!$C$10,"OK","LOW"))</f>
        <v/>
      </c>
    </row>
    <row r="258" customFormat="false" ht="15.75" hidden="false" customHeight="true" outlineLevel="0" collapsed="false">
      <c r="B258" s="81" t="str">
        <f aca="false">IF(C258&lt;&gt;"",ROW()-11,"")</f>
        <v/>
      </c>
      <c r="C258" s="82"/>
      <c r="D258" s="82"/>
      <c r="E258" s="82"/>
      <c r="F258" s="82"/>
      <c r="G258" s="82"/>
      <c r="H258" s="83"/>
      <c r="I258" s="83"/>
      <c r="J258" s="82"/>
      <c r="K258" s="84"/>
      <c r="L258" s="84"/>
      <c r="M258" s="81" t="str">
        <f aca="false">IF(AND(L258&lt;&gt;"",Z258="Open"),L258-Settings!$C$13,"")</f>
        <v/>
      </c>
      <c r="N258" s="81" t="str">
        <f aca="false">IF(Z258&lt;&gt;"Open","",IF(L258="","",IF(L258&lt;Settings!$C$13,"OVERDUE",IF(L258&lt;=Settings!$C$13+Settings!C9,"AT RISK","OK"))))</f>
        <v/>
      </c>
      <c r="O258" s="83"/>
      <c r="P258" s="81"/>
      <c r="Q258" s="85"/>
      <c r="R258" s="85"/>
      <c r="S258" s="85"/>
      <c r="T258" s="85" t="str">
        <f aca="false">IF(AND(Q258&gt;0,R258&gt;0),Q258-R258,"")</f>
        <v/>
      </c>
      <c r="U258" s="86" t="str">
        <f aca="false">IFERROR(IF(AND(Q258&gt;0,R258&gt;0),(Q258-R258)/Q258,""),"")</f>
        <v/>
      </c>
      <c r="V258" s="82"/>
      <c r="W258" s="84"/>
      <c r="X258" s="81" t="str">
        <f aca="false">IF(AND(K258&lt;&gt;"",W258&lt;&gt;""),W258-K258,"")</f>
        <v/>
      </c>
      <c r="Y258" s="81" t="str">
        <f aca="false">IF(AND(X258&lt;&gt;"",X258&gt;0),IF(X258&lt;=Settings!C8,"Yes","No"),"")</f>
        <v/>
      </c>
      <c r="Z258" s="83"/>
      <c r="AA258" s="87"/>
      <c r="AB258" s="88" t="str">
        <f aca="false">IF(Z258&lt;&gt;"Closed","",IF(P258&gt;=Settings!$C$10,"OK","LOW"))</f>
        <v/>
      </c>
    </row>
    <row r="259" customFormat="false" ht="15.75" hidden="false" customHeight="true" outlineLevel="0" collapsed="false">
      <c r="B259" s="89" t="str">
        <f aca="false">IF(C259&lt;&gt;"",ROW()-11,"")</f>
        <v/>
      </c>
      <c r="C259" s="90"/>
      <c r="D259" s="90"/>
      <c r="E259" s="90"/>
      <c r="F259" s="90"/>
      <c r="G259" s="90"/>
      <c r="H259" s="91"/>
      <c r="I259" s="91"/>
      <c r="J259" s="90"/>
      <c r="K259" s="92"/>
      <c r="L259" s="92"/>
      <c r="M259" s="89" t="str">
        <f aca="false">IF(AND(L259&lt;&gt;"",Z259="Open"),L259-Settings!$C$13,"")</f>
        <v/>
      </c>
      <c r="N259" s="89" t="str">
        <f aca="false">IF(Z259&lt;&gt;"Open","",IF(L259="","",IF(L259&lt;Settings!$C$13,"OVERDUE",IF(L259&lt;=Settings!$C$13+Settings!C9,"AT RISK","OK"))))</f>
        <v/>
      </c>
      <c r="O259" s="91"/>
      <c r="P259" s="89"/>
      <c r="Q259" s="93"/>
      <c r="R259" s="93"/>
      <c r="S259" s="93"/>
      <c r="T259" s="93" t="str">
        <f aca="false">IF(AND(Q259&gt;0,R259&gt;0),Q259-R259,"")</f>
        <v/>
      </c>
      <c r="U259" s="94" t="str">
        <f aca="false">IFERROR(IF(AND(Q259&gt;0,R259&gt;0),(Q259-R259)/Q259,""),"")</f>
        <v/>
      </c>
      <c r="V259" s="90"/>
      <c r="W259" s="92"/>
      <c r="X259" s="89" t="str">
        <f aca="false">IF(AND(K259&lt;&gt;"",W259&lt;&gt;""),W259-K259,"")</f>
        <v/>
      </c>
      <c r="Y259" s="89" t="str">
        <f aca="false">IF(AND(X259&lt;&gt;"",X259&gt;0),IF(X259&lt;=Settings!C8,"Yes","No"),"")</f>
        <v/>
      </c>
      <c r="Z259" s="91"/>
      <c r="AA259" s="95"/>
      <c r="AB259" s="88" t="str">
        <f aca="false">IF(Z259&lt;&gt;"Closed","",IF(P259&gt;=Settings!$C$10,"OK","LOW"))</f>
        <v/>
      </c>
    </row>
    <row r="260" customFormat="false" ht="15.75" hidden="false" customHeight="true" outlineLevel="0" collapsed="false">
      <c r="B260" s="81" t="str">
        <f aca="false">IF(C260&lt;&gt;"",ROW()-11,"")</f>
        <v/>
      </c>
      <c r="C260" s="82"/>
      <c r="D260" s="82"/>
      <c r="E260" s="82"/>
      <c r="F260" s="82"/>
      <c r="G260" s="82"/>
      <c r="H260" s="83"/>
      <c r="I260" s="83"/>
      <c r="J260" s="82"/>
      <c r="K260" s="84"/>
      <c r="L260" s="84"/>
      <c r="M260" s="81" t="str">
        <f aca="false">IF(AND(L260&lt;&gt;"",Z260="Open"),L260-Settings!$C$13,"")</f>
        <v/>
      </c>
      <c r="N260" s="81" t="str">
        <f aca="false">IF(Z260&lt;&gt;"Open","",IF(L260="","",IF(L260&lt;Settings!$C$13,"OVERDUE",IF(L260&lt;=Settings!$C$13+Settings!C9,"AT RISK","OK"))))</f>
        <v/>
      </c>
      <c r="O260" s="83"/>
      <c r="P260" s="81"/>
      <c r="Q260" s="85"/>
      <c r="R260" s="85"/>
      <c r="S260" s="85"/>
      <c r="T260" s="85" t="str">
        <f aca="false">IF(AND(Q260&gt;0,R260&gt;0),Q260-R260,"")</f>
        <v/>
      </c>
      <c r="U260" s="86" t="str">
        <f aca="false">IFERROR(IF(AND(Q260&gt;0,R260&gt;0),(Q260-R260)/Q260,""),"")</f>
        <v/>
      </c>
      <c r="V260" s="82"/>
      <c r="W260" s="84"/>
      <c r="X260" s="81" t="str">
        <f aca="false">IF(AND(K260&lt;&gt;"",W260&lt;&gt;""),W260-K260,"")</f>
        <v/>
      </c>
      <c r="Y260" s="81" t="str">
        <f aca="false">IF(AND(X260&lt;&gt;"",X260&gt;0),IF(X260&lt;=Settings!C8,"Yes","No"),"")</f>
        <v/>
      </c>
      <c r="Z260" s="83"/>
      <c r="AA260" s="87"/>
      <c r="AB260" s="88" t="str">
        <f aca="false">IF(Z260&lt;&gt;"Closed","",IF(P260&gt;=Settings!$C$10,"OK","LOW"))</f>
        <v/>
      </c>
    </row>
    <row r="261" customFormat="false" ht="15.75" hidden="false" customHeight="true" outlineLevel="0" collapsed="false">
      <c r="B261" s="89" t="str">
        <f aca="false">IF(C261&lt;&gt;"",ROW()-11,"")</f>
        <v/>
      </c>
      <c r="C261" s="90"/>
      <c r="D261" s="90"/>
      <c r="E261" s="90"/>
      <c r="F261" s="90"/>
      <c r="G261" s="90"/>
      <c r="H261" s="91"/>
      <c r="I261" s="91"/>
      <c r="J261" s="90"/>
      <c r="K261" s="92"/>
      <c r="L261" s="92"/>
      <c r="M261" s="89" t="str">
        <f aca="false">IF(AND(L261&lt;&gt;"",Z261="Open"),L261-Settings!$C$13,"")</f>
        <v/>
      </c>
      <c r="N261" s="89" t="str">
        <f aca="false">IF(Z261&lt;&gt;"Open","",IF(L261="","",IF(L261&lt;Settings!$C$13,"OVERDUE",IF(L261&lt;=Settings!$C$13+Settings!C9,"AT RISK","OK"))))</f>
        <v/>
      </c>
      <c r="O261" s="91"/>
      <c r="P261" s="89"/>
      <c r="Q261" s="93"/>
      <c r="R261" s="93"/>
      <c r="S261" s="93"/>
      <c r="T261" s="93" t="str">
        <f aca="false">IF(AND(Q261&gt;0,R261&gt;0),Q261-R261,"")</f>
        <v/>
      </c>
      <c r="U261" s="94" t="str">
        <f aca="false">IFERROR(IF(AND(Q261&gt;0,R261&gt;0),(Q261-R261)/Q261,""),"")</f>
        <v/>
      </c>
      <c r="V261" s="90"/>
      <c r="W261" s="92"/>
      <c r="X261" s="89" t="str">
        <f aca="false">IF(AND(K261&lt;&gt;"",W261&lt;&gt;""),W261-K261,"")</f>
        <v/>
      </c>
      <c r="Y261" s="89" t="str">
        <f aca="false">IF(AND(X261&lt;&gt;"",X261&gt;0),IF(X261&lt;=Settings!C8,"Yes","No"),"")</f>
        <v/>
      </c>
      <c r="Z261" s="91"/>
      <c r="AA261" s="95"/>
      <c r="AB261" s="88" t="str">
        <f aca="false">IF(Z261&lt;&gt;"Closed","",IF(P261&gt;=Settings!$C$10,"OK","LOW"))</f>
        <v/>
      </c>
    </row>
    <row r="262" customFormat="false" ht="15.75" hidden="false" customHeight="true" outlineLevel="0" collapsed="false">
      <c r="B262" s="81" t="str">
        <f aca="false">IF(C262&lt;&gt;"",ROW()-11,"")</f>
        <v/>
      </c>
      <c r="C262" s="82"/>
      <c r="D262" s="82"/>
      <c r="E262" s="82"/>
      <c r="F262" s="82"/>
      <c r="G262" s="82"/>
      <c r="H262" s="83"/>
      <c r="I262" s="83"/>
      <c r="J262" s="82"/>
      <c r="K262" s="84"/>
      <c r="L262" s="84"/>
      <c r="M262" s="81" t="str">
        <f aca="false">IF(AND(L262&lt;&gt;"",Z262="Open"),L262-Settings!$C$13,"")</f>
        <v/>
      </c>
      <c r="N262" s="81" t="str">
        <f aca="false">IF(Z262&lt;&gt;"Open","",IF(L262="","",IF(L262&lt;Settings!$C$13,"OVERDUE",IF(L262&lt;=Settings!$C$13+Settings!C9,"AT RISK","OK"))))</f>
        <v/>
      </c>
      <c r="O262" s="83"/>
      <c r="P262" s="81"/>
      <c r="Q262" s="85"/>
      <c r="R262" s="85"/>
      <c r="S262" s="85"/>
      <c r="T262" s="85" t="str">
        <f aca="false">IF(AND(Q262&gt;0,R262&gt;0),Q262-R262,"")</f>
        <v/>
      </c>
      <c r="U262" s="86" t="str">
        <f aca="false">IFERROR(IF(AND(Q262&gt;0,R262&gt;0),(Q262-R262)/Q262,""),"")</f>
        <v/>
      </c>
      <c r="V262" s="82"/>
      <c r="W262" s="84"/>
      <c r="X262" s="81" t="str">
        <f aca="false">IF(AND(K262&lt;&gt;"",W262&lt;&gt;""),W262-K262,"")</f>
        <v/>
      </c>
      <c r="Y262" s="81" t="str">
        <f aca="false">IF(AND(X262&lt;&gt;"",X262&gt;0),IF(X262&lt;=Settings!C8,"Yes","No"),"")</f>
        <v/>
      </c>
      <c r="Z262" s="83"/>
      <c r="AA262" s="87"/>
      <c r="AB262" s="88" t="str">
        <f aca="false">IF(Z262&lt;&gt;"Closed","",IF(P262&gt;=Settings!$C$10,"OK","LOW"))</f>
        <v/>
      </c>
    </row>
    <row r="263" customFormat="false" ht="15.75" hidden="false" customHeight="true" outlineLevel="0" collapsed="false">
      <c r="B263" s="89" t="str">
        <f aca="false">IF(C263&lt;&gt;"",ROW()-11,"")</f>
        <v/>
      </c>
      <c r="C263" s="90"/>
      <c r="D263" s="90"/>
      <c r="E263" s="90"/>
      <c r="F263" s="90"/>
      <c r="G263" s="90"/>
      <c r="H263" s="91"/>
      <c r="I263" s="91"/>
      <c r="J263" s="90"/>
      <c r="K263" s="92"/>
      <c r="L263" s="92"/>
      <c r="M263" s="89" t="str">
        <f aca="false">IF(AND(L263&lt;&gt;"",Z263="Open"),L263-Settings!$C$13,"")</f>
        <v/>
      </c>
      <c r="N263" s="89" t="str">
        <f aca="false">IF(Z263&lt;&gt;"Open","",IF(L263="","",IF(L263&lt;Settings!$C$13,"OVERDUE",IF(L263&lt;=Settings!$C$13+Settings!C9,"AT RISK","OK"))))</f>
        <v/>
      </c>
      <c r="O263" s="91"/>
      <c r="P263" s="89"/>
      <c r="Q263" s="93"/>
      <c r="R263" s="93"/>
      <c r="S263" s="93"/>
      <c r="T263" s="93" t="str">
        <f aca="false">IF(AND(Q263&gt;0,R263&gt;0),Q263-R263,"")</f>
        <v/>
      </c>
      <c r="U263" s="94" t="str">
        <f aca="false">IFERROR(IF(AND(Q263&gt;0,R263&gt;0),(Q263-R263)/Q263,""),"")</f>
        <v/>
      </c>
      <c r="V263" s="90"/>
      <c r="W263" s="92"/>
      <c r="X263" s="89" t="str">
        <f aca="false">IF(AND(K263&lt;&gt;"",W263&lt;&gt;""),W263-K263,"")</f>
        <v/>
      </c>
      <c r="Y263" s="89" t="str">
        <f aca="false">IF(AND(X263&lt;&gt;"",X263&gt;0),IF(X263&lt;=Settings!C8,"Yes","No"),"")</f>
        <v/>
      </c>
      <c r="Z263" s="91"/>
      <c r="AA263" s="95"/>
      <c r="AB263" s="88" t="str">
        <f aca="false">IF(Z263&lt;&gt;"Closed","",IF(P263&gt;=Settings!$C$10,"OK","LOW"))</f>
        <v/>
      </c>
    </row>
    <row r="264" customFormat="false" ht="15.75" hidden="false" customHeight="true" outlineLevel="0" collapsed="false">
      <c r="B264" s="81" t="str">
        <f aca="false">IF(C264&lt;&gt;"",ROW()-11,"")</f>
        <v/>
      </c>
      <c r="C264" s="82"/>
      <c r="D264" s="82"/>
      <c r="E264" s="82"/>
      <c r="F264" s="82"/>
      <c r="G264" s="82"/>
      <c r="H264" s="83"/>
      <c r="I264" s="83"/>
      <c r="J264" s="82"/>
      <c r="K264" s="84"/>
      <c r="L264" s="84"/>
      <c r="M264" s="81" t="str">
        <f aca="false">IF(AND(L264&lt;&gt;"",Z264="Open"),L264-Settings!$C$13,"")</f>
        <v/>
      </c>
      <c r="N264" s="81" t="str">
        <f aca="false">IF(Z264&lt;&gt;"Open","",IF(L264="","",IF(L264&lt;Settings!$C$13,"OVERDUE",IF(L264&lt;=Settings!$C$13+Settings!C9,"AT RISK","OK"))))</f>
        <v/>
      </c>
      <c r="O264" s="83"/>
      <c r="P264" s="81"/>
      <c r="Q264" s="85"/>
      <c r="R264" s="85"/>
      <c r="S264" s="85"/>
      <c r="T264" s="85" t="str">
        <f aca="false">IF(AND(Q264&gt;0,R264&gt;0),Q264-R264,"")</f>
        <v/>
      </c>
      <c r="U264" s="86" t="str">
        <f aca="false">IFERROR(IF(AND(Q264&gt;0,R264&gt;0),(Q264-R264)/Q264,""),"")</f>
        <v/>
      </c>
      <c r="V264" s="82"/>
      <c r="W264" s="84"/>
      <c r="X264" s="81" t="str">
        <f aca="false">IF(AND(K264&lt;&gt;"",W264&lt;&gt;""),W264-K264,"")</f>
        <v/>
      </c>
      <c r="Y264" s="81" t="str">
        <f aca="false">IF(AND(X264&lt;&gt;"",X264&gt;0),IF(X264&lt;=Settings!C8,"Yes","No"),"")</f>
        <v/>
      </c>
      <c r="Z264" s="83"/>
      <c r="AA264" s="87"/>
      <c r="AB264" s="88" t="str">
        <f aca="false">IF(Z264&lt;&gt;"Closed","",IF(P264&gt;=Settings!$C$10,"OK","LOW"))</f>
        <v/>
      </c>
    </row>
    <row r="265" customFormat="false" ht="15.75" hidden="false" customHeight="true" outlineLevel="0" collapsed="false">
      <c r="B265" s="89" t="str">
        <f aca="false">IF(C265&lt;&gt;"",ROW()-11,"")</f>
        <v/>
      </c>
      <c r="C265" s="90"/>
      <c r="D265" s="90"/>
      <c r="E265" s="90"/>
      <c r="F265" s="90"/>
      <c r="G265" s="90"/>
      <c r="H265" s="91"/>
      <c r="I265" s="91"/>
      <c r="J265" s="90"/>
      <c r="K265" s="92"/>
      <c r="L265" s="92"/>
      <c r="M265" s="89" t="str">
        <f aca="false">IF(AND(L265&lt;&gt;"",Z265="Open"),L265-Settings!$C$13,"")</f>
        <v/>
      </c>
      <c r="N265" s="89" t="str">
        <f aca="false">IF(Z265&lt;&gt;"Open","",IF(L265="","",IF(L265&lt;Settings!$C$13,"OVERDUE",IF(L265&lt;=Settings!$C$13+Settings!C9,"AT RISK","OK"))))</f>
        <v/>
      </c>
      <c r="O265" s="91"/>
      <c r="P265" s="89"/>
      <c r="Q265" s="93"/>
      <c r="R265" s="93"/>
      <c r="S265" s="93"/>
      <c r="T265" s="93" t="str">
        <f aca="false">IF(AND(Q265&gt;0,R265&gt;0),Q265-R265,"")</f>
        <v/>
      </c>
      <c r="U265" s="94" t="str">
        <f aca="false">IFERROR(IF(AND(Q265&gt;0,R265&gt;0),(Q265-R265)/Q265,""),"")</f>
        <v/>
      </c>
      <c r="V265" s="90"/>
      <c r="W265" s="92"/>
      <c r="X265" s="89" t="str">
        <f aca="false">IF(AND(K265&lt;&gt;"",W265&lt;&gt;""),W265-K265,"")</f>
        <v/>
      </c>
      <c r="Y265" s="89" t="str">
        <f aca="false">IF(AND(X265&lt;&gt;"",X265&gt;0),IF(X265&lt;=Settings!C8,"Yes","No"),"")</f>
        <v/>
      </c>
      <c r="Z265" s="91"/>
      <c r="AA265" s="95"/>
      <c r="AB265" s="88" t="str">
        <f aca="false">IF(Z265&lt;&gt;"Closed","",IF(P265&gt;=Settings!$C$10,"OK","LOW"))</f>
        <v/>
      </c>
    </row>
    <row r="266" customFormat="false" ht="15.75" hidden="false" customHeight="true" outlineLevel="0" collapsed="false">
      <c r="B266" s="81" t="str">
        <f aca="false">IF(C266&lt;&gt;"",ROW()-11,"")</f>
        <v/>
      </c>
      <c r="C266" s="82"/>
      <c r="D266" s="82"/>
      <c r="E266" s="82"/>
      <c r="F266" s="82"/>
      <c r="G266" s="82"/>
      <c r="H266" s="83"/>
      <c r="I266" s="83"/>
      <c r="J266" s="82"/>
      <c r="K266" s="84"/>
      <c r="L266" s="84"/>
      <c r="M266" s="81" t="str">
        <f aca="false">IF(AND(L266&lt;&gt;"",Z266="Open"),L266-Settings!$C$13,"")</f>
        <v/>
      </c>
      <c r="N266" s="81" t="str">
        <f aca="false">IF(Z266&lt;&gt;"Open","",IF(L266="","",IF(L266&lt;Settings!$C$13,"OVERDUE",IF(L266&lt;=Settings!$C$13+Settings!C9,"AT RISK","OK"))))</f>
        <v/>
      </c>
      <c r="O266" s="83"/>
      <c r="P266" s="81"/>
      <c r="Q266" s="85"/>
      <c r="R266" s="85"/>
      <c r="S266" s="85"/>
      <c r="T266" s="85" t="str">
        <f aca="false">IF(AND(Q266&gt;0,R266&gt;0),Q266-R266,"")</f>
        <v/>
      </c>
      <c r="U266" s="86" t="str">
        <f aca="false">IFERROR(IF(AND(Q266&gt;0,R266&gt;0),(Q266-R266)/Q266,""),"")</f>
        <v/>
      </c>
      <c r="V266" s="82"/>
      <c r="W266" s="84"/>
      <c r="X266" s="81" t="str">
        <f aca="false">IF(AND(K266&lt;&gt;"",W266&lt;&gt;""),W266-K266,"")</f>
        <v/>
      </c>
      <c r="Y266" s="81" t="str">
        <f aca="false">IF(AND(X266&lt;&gt;"",X266&gt;0),IF(X266&lt;=Settings!C8,"Yes","No"),"")</f>
        <v/>
      </c>
      <c r="Z266" s="83"/>
      <c r="AA266" s="87"/>
      <c r="AB266" s="88" t="str">
        <f aca="false">IF(Z266&lt;&gt;"Closed","",IF(P266&gt;=Settings!$C$10,"OK","LOW"))</f>
        <v/>
      </c>
    </row>
    <row r="267" customFormat="false" ht="15.75" hidden="false" customHeight="true" outlineLevel="0" collapsed="false">
      <c r="B267" s="89" t="str">
        <f aca="false">IF(C267&lt;&gt;"",ROW()-11,"")</f>
        <v/>
      </c>
      <c r="C267" s="90"/>
      <c r="D267" s="90"/>
      <c r="E267" s="90"/>
      <c r="F267" s="90"/>
      <c r="G267" s="90"/>
      <c r="H267" s="91"/>
      <c r="I267" s="91"/>
      <c r="J267" s="90"/>
      <c r="K267" s="92"/>
      <c r="L267" s="92"/>
      <c r="M267" s="89" t="str">
        <f aca="false">IF(AND(L267&lt;&gt;"",Z267="Open"),L267-Settings!$C$13,"")</f>
        <v/>
      </c>
      <c r="N267" s="89" t="str">
        <f aca="false">IF(Z267&lt;&gt;"Open","",IF(L267="","",IF(L267&lt;Settings!$C$13,"OVERDUE",IF(L267&lt;=Settings!$C$13+Settings!C9,"AT RISK","OK"))))</f>
        <v/>
      </c>
      <c r="O267" s="91"/>
      <c r="P267" s="89"/>
      <c r="Q267" s="93"/>
      <c r="R267" s="93"/>
      <c r="S267" s="93"/>
      <c r="T267" s="93" t="str">
        <f aca="false">IF(AND(Q267&gt;0,R267&gt;0),Q267-R267,"")</f>
        <v/>
      </c>
      <c r="U267" s="94" t="str">
        <f aca="false">IFERROR(IF(AND(Q267&gt;0,R267&gt;0),(Q267-R267)/Q267,""),"")</f>
        <v/>
      </c>
      <c r="V267" s="90"/>
      <c r="W267" s="92"/>
      <c r="X267" s="89" t="str">
        <f aca="false">IF(AND(K267&lt;&gt;"",W267&lt;&gt;""),W267-K267,"")</f>
        <v/>
      </c>
      <c r="Y267" s="89" t="str">
        <f aca="false">IF(AND(X267&lt;&gt;"",X267&gt;0),IF(X267&lt;=Settings!C8,"Yes","No"),"")</f>
        <v/>
      </c>
      <c r="Z267" s="91"/>
      <c r="AA267" s="95"/>
      <c r="AB267" s="88" t="str">
        <f aca="false">IF(Z267&lt;&gt;"Closed","",IF(P267&gt;=Settings!$C$10,"OK","LOW"))</f>
        <v/>
      </c>
    </row>
    <row r="268" customFormat="false" ht="15.75" hidden="false" customHeight="true" outlineLevel="0" collapsed="false">
      <c r="B268" s="81" t="str">
        <f aca="false">IF(C268&lt;&gt;"",ROW()-11,"")</f>
        <v/>
      </c>
      <c r="C268" s="82"/>
      <c r="D268" s="82"/>
      <c r="E268" s="82"/>
      <c r="F268" s="82"/>
      <c r="G268" s="82"/>
      <c r="H268" s="83"/>
      <c r="I268" s="83"/>
      <c r="J268" s="82"/>
      <c r="K268" s="84"/>
      <c r="L268" s="84"/>
      <c r="M268" s="81" t="str">
        <f aca="false">IF(AND(L268&lt;&gt;"",Z268="Open"),L268-Settings!$C$13,"")</f>
        <v/>
      </c>
      <c r="N268" s="81" t="str">
        <f aca="false">IF(Z268&lt;&gt;"Open","",IF(L268="","",IF(L268&lt;Settings!$C$13,"OVERDUE",IF(L268&lt;=Settings!$C$13+Settings!C9,"AT RISK","OK"))))</f>
        <v/>
      </c>
      <c r="O268" s="83"/>
      <c r="P268" s="81"/>
      <c r="Q268" s="85"/>
      <c r="R268" s="85"/>
      <c r="S268" s="85"/>
      <c r="T268" s="85" t="str">
        <f aca="false">IF(AND(Q268&gt;0,R268&gt;0),Q268-R268,"")</f>
        <v/>
      </c>
      <c r="U268" s="86" t="str">
        <f aca="false">IFERROR(IF(AND(Q268&gt;0,R268&gt;0),(Q268-R268)/Q268,""),"")</f>
        <v/>
      </c>
      <c r="V268" s="82"/>
      <c r="W268" s="84"/>
      <c r="X268" s="81" t="str">
        <f aca="false">IF(AND(K268&lt;&gt;"",W268&lt;&gt;""),W268-K268,"")</f>
        <v/>
      </c>
      <c r="Y268" s="81" t="str">
        <f aca="false">IF(AND(X268&lt;&gt;"",X268&gt;0),IF(X268&lt;=Settings!C8,"Yes","No"),"")</f>
        <v/>
      </c>
      <c r="Z268" s="83"/>
      <c r="AA268" s="87"/>
      <c r="AB268" s="88" t="str">
        <f aca="false">IF(Z268&lt;&gt;"Closed","",IF(P268&gt;=Settings!$C$10,"OK","LOW"))</f>
        <v/>
      </c>
    </row>
    <row r="269" customFormat="false" ht="15.75" hidden="false" customHeight="true" outlineLevel="0" collapsed="false">
      <c r="B269" s="89" t="str">
        <f aca="false">IF(C269&lt;&gt;"",ROW()-11,"")</f>
        <v/>
      </c>
      <c r="C269" s="90"/>
      <c r="D269" s="90"/>
      <c r="E269" s="90"/>
      <c r="F269" s="90"/>
      <c r="G269" s="90"/>
      <c r="H269" s="91"/>
      <c r="I269" s="91"/>
      <c r="J269" s="90"/>
      <c r="K269" s="92"/>
      <c r="L269" s="92"/>
      <c r="M269" s="89" t="str">
        <f aca="false">IF(AND(L269&lt;&gt;"",Z269="Open"),L269-Settings!$C$13,"")</f>
        <v/>
      </c>
      <c r="N269" s="89" t="str">
        <f aca="false">IF(Z269&lt;&gt;"Open","",IF(L269="","",IF(L269&lt;Settings!$C$13,"OVERDUE",IF(L269&lt;=Settings!$C$13+Settings!C9,"AT RISK","OK"))))</f>
        <v/>
      </c>
      <c r="O269" s="91"/>
      <c r="P269" s="89"/>
      <c r="Q269" s="93"/>
      <c r="R269" s="93"/>
      <c r="S269" s="93"/>
      <c r="T269" s="93" t="str">
        <f aca="false">IF(AND(Q269&gt;0,R269&gt;0),Q269-R269,"")</f>
        <v/>
      </c>
      <c r="U269" s="94" t="str">
        <f aca="false">IFERROR(IF(AND(Q269&gt;0,R269&gt;0),(Q269-R269)/Q269,""),"")</f>
        <v/>
      </c>
      <c r="V269" s="90"/>
      <c r="W269" s="92"/>
      <c r="X269" s="89" t="str">
        <f aca="false">IF(AND(K269&lt;&gt;"",W269&lt;&gt;""),W269-K269,"")</f>
        <v/>
      </c>
      <c r="Y269" s="89" t="str">
        <f aca="false">IF(AND(X269&lt;&gt;"",X269&gt;0),IF(X269&lt;=Settings!C8,"Yes","No"),"")</f>
        <v/>
      </c>
      <c r="Z269" s="91"/>
      <c r="AA269" s="95"/>
      <c r="AB269" s="88" t="str">
        <f aca="false">IF(Z269&lt;&gt;"Closed","",IF(P269&gt;=Settings!$C$10,"OK","LOW"))</f>
        <v/>
      </c>
    </row>
    <row r="270" customFormat="false" ht="15.75" hidden="false" customHeight="true" outlineLevel="0" collapsed="false">
      <c r="B270" s="81" t="str">
        <f aca="false">IF(C270&lt;&gt;"",ROW()-11,"")</f>
        <v/>
      </c>
      <c r="C270" s="82"/>
      <c r="D270" s="82"/>
      <c r="E270" s="82"/>
      <c r="F270" s="82"/>
      <c r="G270" s="82"/>
      <c r="H270" s="83"/>
      <c r="I270" s="83"/>
      <c r="J270" s="82"/>
      <c r="K270" s="84"/>
      <c r="L270" s="84"/>
      <c r="M270" s="81" t="str">
        <f aca="false">IF(AND(L270&lt;&gt;"",Z270="Open"),L270-Settings!$C$13,"")</f>
        <v/>
      </c>
      <c r="N270" s="81" t="str">
        <f aca="false">IF(Z270&lt;&gt;"Open","",IF(L270="","",IF(L270&lt;Settings!$C$13,"OVERDUE",IF(L270&lt;=Settings!$C$13+Settings!C9,"AT RISK","OK"))))</f>
        <v/>
      </c>
      <c r="O270" s="83"/>
      <c r="P270" s="81"/>
      <c r="Q270" s="85"/>
      <c r="R270" s="85"/>
      <c r="S270" s="85"/>
      <c r="T270" s="85" t="str">
        <f aca="false">IF(AND(Q270&gt;0,R270&gt;0),Q270-R270,"")</f>
        <v/>
      </c>
      <c r="U270" s="86" t="str">
        <f aca="false">IFERROR(IF(AND(Q270&gt;0,R270&gt;0),(Q270-R270)/Q270,""),"")</f>
        <v/>
      </c>
      <c r="V270" s="82"/>
      <c r="W270" s="84"/>
      <c r="X270" s="81" t="str">
        <f aca="false">IF(AND(K270&lt;&gt;"",W270&lt;&gt;""),W270-K270,"")</f>
        <v/>
      </c>
      <c r="Y270" s="81" t="str">
        <f aca="false">IF(AND(X270&lt;&gt;"",X270&gt;0),IF(X270&lt;=Settings!C8,"Yes","No"),"")</f>
        <v/>
      </c>
      <c r="Z270" s="83"/>
      <c r="AA270" s="87"/>
      <c r="AB270" s="88" t="str">
        <f aca="false">IF(Z270&lt;&gt;"Closed","",IF(P270&gt;=Settings!$C$10,"OK","LOW"))</f>
        <v/>
      </c>
    </row>
    <row r="271" customFormat="false" ht="15.75" hidden="false" customHeight="true" outlineLevel="0" collapsed="false">
      <c r="B271" s="89" t="str">
        <f aca="false">IF(C271&lt;&gt;"",ROW()-11,"")</f>
        <v/>
      </c>
      <c r="C271" s="90"/>
      <c r="D271" s="90"/>
      <c r="E271" s="90"/>
      <c r="F271" s="90"/>
      <c r="G271" s="90"/>
      <c r="H271" s="91"/>
      <c r="I271" s="91"/>
      <c r="J271" s="90"/>
      <c r="K271" s="92"/>
      <c r="L271" s="92"/>
      <c r="M271" s="89" t="str">
        <f aca="false">IF(AND(L271&lt;&gt;"",Z271="Open"),L271-Settings!$C$13,"")</f>
        <v/>
      </c>
      <c r="N271" s="89" t="str">
        <f aca="false">IF(Z271&lt;&gt;"Open","",IF(L271="","",IF(L271&lt;Settings!$C$13,"OVERDUE",IF(L271&lt;=Settings!$C$13+Settings!C9,"AT RISK","OK"))))</f>
        <v/>
      </c>
      <c r="O271" s="91"/>
      <c r="P271" s="89"/>
      <c r="Q271" s="93"/>
      <c r="R271" s="93"/>
      <c r="S271" s="93"/>
      <c r="T271" s="93" t="str">
        <f aca="false">IF(AND(Q271&gt;0,R271&gt;0),Q271-R271,"")</f>
        <v/>
      </c>
      <c r="U271" s="94" t="str">
        <f aca="false">IFERROR(IF(AND(Q271&gt;0,R271&gt;0),(Q271-R271)/Q271,""),"")</f>
        <v/>
      </c>
      <c r="V271" s="90"/>
      <c r="W271" s="92"/>
      <c r="X271" s="89" t="str">
        <f aca="false">IF(AND(K271&lt;&gt;"",W271&lt;&gt;""),W271-K271,"")</f>
        <v/>
      </c>
      <c r="Y271" s="89" t="str">
        <f aca="false">IF(AND(X271&lt;&gt;"",X271&gt;0),IF(X271&lt;=Settings!C8,"Yes","No"),"")</f>
        <v/>
      </c>
      <c r="Z271" s="91"/>
      <c r="AA271" s="95"/>
      <c r="AB271" s="88" t="str">
        <f aca="false">IF(Z271&lt;&gt;"Closed","",IF(P271&gt;=Settings!$C$10,"OK","LOW"))</f>
        <v/>
      </c>
    </row>
    <row r="272" customFormat="false" ht="15.75" hidden="false" customHeight="true" outlineLevel="0" collapsed="false">
      <c r="B272" s="81" t="str">
        <f aca="false">IF(C272&lt;&gt;"",ROW()-11,"")</f>
        <v/>
      </c>
      <c r="C272" s="82"/>
      <c r="D272" s="82"/>
      <c r="E272" s="82"/>
      <c r="F272" s="82"/>
      <c r="G272" s="82"/>
      <c r="H272" s="83"/>
      <c r="I272" s="83"/>
      <c r="J272" s="82"/>
      <c r="K272" s="84"/>
      <c r="L272" s="84"/>
      <c r="M272" s="81" t="str">
        <f aca="false">IF(AND(L272&lt;&gt;"",Z272="Open"),L272-Settings!$C$13,"")</f>
        <v/>
      </c>
      <c r="N272" s="81" t="str">
        <f aca="false">IF(Z272&lt;&gt;"Open","",IF(L272="","",IF(L272&lt;Settings!$C$13,"OVERDUE",IF(L272&lt;=Settings!$C$13+Settings!C9,"AT RISK","OK"))))</f>
        <v/>
      </c>
      <c r="O272" s="83"/>
      <c r="P272" s="81"/>
      <c r="Q272" s="85"/>
      <c r="R272" s="85"/>
      <c r="S272" s="85"/>
      <c r="T272" s="85" t="str">
        <f aca="false">IF(AND(Q272&gt;0,R272&gt;0),Q272-R272,"")</f>
        <v/>
      </c>
      <c r="U272" s="86" t="str">
        <f aca="false">IFERROR(IF(AND(Q272&gt;0,R272&gt;0),(Q272-R272)/Q272,""),"")</f>
        <v/>
      </c>
      <c r="V272" s="82"/>
      <c r="W272" s="84"/>
      <c r="X272" s="81" t="str">
        <f aca="false">IF(AND(K272&lt;&gt;"",W272&lt;&gt;""),W272-K272,"")</f>
        <v/>
      </c>
      <c r="Y272" s="81" t="str">
        <f aca="false">IF(AND(X272&lt;&gt;"",X272&gt;0),IF(X272&lt;=Settings!C8,"Yes","No"),"")</f>
        <v/>
      </c>
      <c r="Z272" s="83"/>
      <c r="AA272" s="87"/>
      <c r="AB272" s="88" t="str">
        <f aca="false">IF(Z272&lt;&gt;"Closed","",IF(P272&gt;=Settings!$C$10,"OK","LOW"))</f>
        <v/>
      </c>
    </row>
    <row r="273" customFormat="false" ht="15.75" hidden="false" customHeight="true" outlineLevel="0" collapsed="false">
      <c r="B273" s="89" t="str">
        <f aca="false">IF(C273&lt;&gt;"",ROW()-11,"")</f>
        <v/>
      </c>
      <c r="C273" s="90"/>
      <c r="D273" s="90"/>
      <c r="E273" s="90"/>
      <c r="F273" s="90"/>
      <c r="G273" s="90"/>
      <c r="H273" s="91"/>
      <c r="I273" s="91"/>
      <c r="J273" s="90"/>
      <c r="K273" s="92"/>
      <c r="L273" s="92"/>
      <c r="M273" s="89" t="str">
        <f aca="false">IF(AND(L273&lt;&gt;"",Z273="Open"),L273-Settings!$C$13,"")</f>
        <v/>
      </c>
      <c r="N273" s="89" t="str">
        <f aca="false">IF(Z273&lt;&gt;"Open","",IF(L273="","",IF(L273&lt;Settings!$C$13,"OVERDUE",IF(L273&lt;=Settings!$C$13+Settings!C9,"AT RISK","OK"))))</f>
        <v/>
      </c>
      <c r="O273" s="91"/>
      <c r="P273" s="89"/>
      <c r="Q273" s="93"/>
      <c r="R273" s="93"/>
      <c r="S273" s="93"/>
      <c r="T273" s="93" t="str">
        <f aca="false">IF(AND(Q273&gt;0,R273&gt;0),Q273-R273,"")</f>
        <v/>
      </c>
      <c r="U273" s="94" t="str">
        <f aca="false">IFERROR(IF(AND(Q273&gt;0,R273&gt;0),(Q273-R273)/Q273,""),"")</f>
        <v/>
      </c>
      <c r="V273" s="90"/>
      <c r="W273" s="92"/>
      <c r="X273" s="89" t="str">
        <f aca="false">IF(AND(K273&lt;&gt;"",W273&lt;&gt;""),W273-K273,"")</f>
        <v/>
      </c>
      <c r="Y273" s="89" t="str">
        <f aca="false">IF(AND(X273&lt;&gt;"",X273&gt;0),IF(X273&lt;=Settings!C8,"Yes","No"),"")</f>
        <v/>
      </c>
      <c r="Z273" s="91"/>
      <c r="AA273" s="95"/>
      <c r="AB273" s="88" t="str">
        <f aca="false">IF(Z273&lt;&gt;"Closed","",IF(P273&gt;=Settings!$C$10,"OK","LOW"))</f>
        <v/>
      </c>
    </row>
    <row r="274" customFormat="false" ht="15.75" hidden="false" customHeight="true" outlineLevel="0" collapsed="false">
      <c r="B274" s="81" t="str">
        <f aca="false">IF(C274&lt;&gt;"",ROW()-11,"")</f>
        <v/>
      </c>
      <c r="C274" s="82"/>
      <c r="D274" s="82"/>
      <c r="E274" s="82"/>
      <c r="F274" s="82"/>
      <c r="G274" s="82"/>
      <c r="H274" s="83"/>
      <c r="I274" s="83"/>
      <c r="J274" s="82"/>
      <c r="K274" s="84"/>
      <c r="L274" s="84"/>
      <c r="M274" s="81" t="str">
        <f aca="false">IF(AND(L274&lt;&gt;"",Z274="Open"),L274-Settings!$C$13,"")</f>
        <v/>
      </c>
      <c r="N274" s="81" t="str">
        <f aca="false">IF(Z274&lt;&gt;"Open","",IF(L274="","",IF(L274&lt;Settings!$C$13,"OVERDUE",IF(L274&lt;=Settings!$C$13+Settings!C9,"AT RISK","OK"))))</f>
        <v/>
      </c>
      <c r="O274" s="83"/>
      <c r="P274" s="81"/>
      <c r="Q274" s="85"/>
      <c r="R274" s="85"/>
      <c r="S274" s="85"/>
      <c r="T274" s="85" t="str">
        <f aca="false">IF(AND(Q274&gt;0,R274&gt;0),Q274-R274,"")</f>
        <v/>
      </c>
      <c r="U274" s="86" t="str">
        <f aca="false">IFERROR(IF(AND(Q274&gt;0,R274&gt;0),(Q274-R274)/Q274,""),"")</f>
        <v/>
      </c>
      <c r="V274" s="82"/>
      <c r="W274" s="84"/>
      <c r="X274" s="81" t="str">
        <f aca="false">IF(AND(K274&lt;&gt;"",W274&lt;&gt;""),W274-K274,"")</f>
        <v/>
      </c>
      <c r="Y274" s="81" t="str">
        <f aca="false">IF(AND(X274&lt;&gt;"",X274&gt;0),IF(X274&lt;=Settings!C8,"Yes","No"),"")</f>
        <v/>
      </c>
      <c r="Z274" s="83"/>
      <c r="AA274" s="87"/>
      <c r="AB274" s="88" t="str">
        <f aca="false">IF(Z274&lt;&gt;"Closed","",IF(P274&gt;=Settings!$C$10,"OK","LOW"))</f>
        <v/>
      </c>
    </row>
    <row r="275" customFormat="false" ht="15.75" hidden="false" customHeight="true" outlineLevel="0" collapsed="false">
      <c r="B275" s="89" t="str">
        <f aca="false">IF(C275&lt;&gt;"",ROW()-11,"")</f>
        <v/>
      </c>
      <c r="C275" s="90"/>
      <c r="D275" s="90"/>
      <c r="E275" s="90"/>
      <c r="F275" s="90"/>
      <c r="G275" s="90"/>
      <c r="H275" s="91"/>
      <c r="I275" s="91"/>
      <c r="J275" s="90"/>
      <c r="K275" s="92"/>
      <c r="L275" s="92"/>
      <c r="M275" s="89" t="str">
        <f aca="false">IF(AND(L275&lt;&gt;"",Z275="Open"),L275-Settings!$C$13,"")</f>
        <v/>
      </c>
      <c r="N275" s="89" t="str">
        <f aca="false">IF(Z275&lt;&gt;"Open","",IF(L275="","",IF(L275&lt;Settings!$C$13,"OVERDUE",IF(L275&lt;=Settings!$C$13+Settings!C9,"AT RISK","OK"))))</f>
        <v/>
      </c>
      <c r="O275" s="91"/>
      <c r="P275" s="89"/>
      <c r="Q275" s="93"/>
      <c r="R275" s="93"/>
      <c r="S275" s="93"/>
      <c r="T275" s="93" t="str">
        <f aca="false">IF(AND(Q275&gt;0,R275&gt;0),Q275-R275,"")</f>
        <v/>
      </c>
      <c r="U275" s="94" t="str">
        <f aca="false">IFERROR(IF(AND(Q275&gt;0,R275&gt;0),(Q275-R275)/Q275,""),"")</f>
        <v/>
      </c>
      <c r="V275" s="90"/>
      <c r="W275" s="92"/>
      <c r="X275" s="89" t="str">
        <f aca="false">IF(AND(K275&lt;&gt;"",W275&lt;&gt;""),W275-K275,"")</f>
        <v/>
      </c>
      <c r="Y275" s="89" t="str">
        <f aca="false">IF(AND(X275&lt;&gt;"",X275&gt;0),IF(X275&lt;=Settings!C8,"Yes","No"),"")</f>
        <v/>
      </c>
      <c r="Z275" s="91"/>
      <c r="AA275" s="95"/>
      <c r="AB275" s="88" t="str">
        <f aca="false">IF(Z275&lt;&gt;"Closed","",IF(P275&gt;=Settings!$C$10,"OK","LOW"))</f>
        <v/>
      </c>
    </row>
    <row r="276" customFormat="false" ht="15.75" hidden="false" customHeight="true" outlineLevel="0" collapsed="false">
      <c r="B276" s="81" t="str">
        <f aca="false">IF(C276&lt;&gt;"",ROW()-11,"")</f>
        <v/>
      </c>
      <c r="C276" s="82"/>
      <c r="D276" s="82"/>
      <c r="E276" s="82"/>
      <c r="F276" s="82"/>
      <c r="G276" s="82"/>
      <c r="H276" s="83"/>
      <c r="I276" s="83"/>
      <c r="J276" s="82"/>
      <c r="K276" s="84"/>
      <c r="L276" s="84"/>
      <c r="M276" s="81" t="str">
        <f aca="false">IF(AND(L276&lt;&gt;"",Z276="Open"),L276-Settings!$C$13,"")</f>
        <v/>
      </c>
      <c r="N276" s="81" t="str">
        <f aca="false">IF(Z276&lt;&gt;"Open","",IF(L276="","",IF(L276&lt;Settings!$C$13,"OVERDUE",IF(L276&lt;=Settings!$C$13+Settings!C9,"AT RISK","OK"))))</f>
        <v/>
      </c>
      <c r="O276" s="83"/>
      <c r="P276" s="81"/>
      <c r="Q276" s="85"/>
      <c r="R276" s="85"/>
      <c r="S276" s="85"/>
      <c r="T276" s="85" t="str">
        <f aca="false">IF(AND(Q276&gt;0,R276&gt;0),Q276-R276,"")</f>
        <v/>
      </c>
      <c r="U276" s="86" t="str">
        <f aca="false">IFERROR(IF(AND(Q276&gt;0,R276&gt;0),(Q276-R276)/Q276,""),"")</f>
        <v/>
      </c>
      <c r="V276" s="82"/>
      <c r="W276" s="84"/>
      <c r="X276" s="81" t="str">
        <f aca="false">IF(AND(K276&lt;&gt;"",W276&lt;&gt;""),W276-K276,"")</f>
        <v/>
      </c>
      <c r="Y276" s="81" t="str">
        <f aca="false">IF(AND(X276&lt;&gt;"",X276&gt;0),IF(X276&lt;=Settings!C8,"Yes","No"),"")</f>
        <v/>
      </c>
      <c r="Z276" s="83"/>
      <c r="AA276" s="87"/>
      <c r="AB276" s="88" t="str">
        <f aca="false">IF(Z276&lt;&gt;"Closed","",IF(P276&gt;=Settings!$C$10,"OK","LOW"))</f>
        <v/>
      </c>
    </row>
    <row r="277" customFormat="false" ht="15.75" hidden="false" customHeight="true" outlineLevel="0" collapsed="false">
      <c r="B277" s="89" t="str">
        <f aca="false">IF(C277&lt;&gt;"",ROW()-11,"")</f>
        <v/>
      </c>
      <c r="C277" s="90"/>
      <c r="D277" s="90"/>
      <c r="E277" s="90"/>
      <c r="F277" s="90"/>
      <c r="G277" s="90"/>
      <c r="H277" s="91"/>
      <c r="I277" s="91"/>
      <c r="J277" s="90"/>
      <c r="K277" s="92"/>
      <c r="L277" s="92"/>
      <c r="M277" s="89" t="str">
        <f aca="false">IF(AND(L277&lt;&gt;"",Z277="Open"),L277-Settings!$C$13,"")</f>
        <v/>
      </c>
      <c r="N277" s="89" t="str">
        <f aca="false">IF(Z277&lt;&gt;"Open","",IF(L277="","",IF(L277&lt;Settings!$C$13,"OVERDUE",IF(L277&lt;=Settings!$C$13+Settings!C9,"AT RISK","OK"))))</f>
        <v/>
      </c>
      <c r="O277" s="91"/>
      <c r="P277" s="89"/>
      <c r="Q277" s="93"/>
      <c r="R277" s="93"/>
      <c r="S277" s="93"/>
      <c r="T277" s="93" t="str">
        <f aca="false">IF(AND(Q277&gt;0,R277&gt;0),Q277-R277,"")</f>
        <v/>
      </c>
      <c r="U277" s="94" t="str">
        <f aca="false">IFERROR(IF(AND(Q277&gt;0,R277&gt;0),(Q277-R277)/Q277,""),"")</f>
        <v/>
      </c>
      <c r="V277" s="90"/>
      <c r="W277" s="92"/>
      <c r="X277" s="89" t="str">
        <f aca="false">IF(AND(K277&lt;&gt;"",W277&lt;&gt;""),W277-K277,"")</f>
        <v/>
      </c>
      <c r="Y277" s="89" t="str">
        <f aca="false">IF(AND(X277&lt;&gt;"",X277&gt;0),IF(X277&lt;=Settings!C8,"Yes","No"),"")</f>
        <v/>
      </c>
      <c r="Z277" s="91"/>
      <c r="AA277" s="95"/>
      <c r="AB277" s="88" t="str">
        <f aca="false">IF(Z277&lt;&gt;"Closed","",IF(P277&gt;=Settings!$C$10,"OK","LOW"))</f>
        <v/>
      </c>
    </row>
    <row r="278" customFormat="false" ht="15.75" hidden="false" customHeight="true" outlineLevel="0" collapsed="false">
      <c r="B278" s="81" t="str">
        <f aca="false">IF(C278&lt;&gt;"",ROW()-11,"")</f>
        <v/>
      </c>
      <c r="C278" s="82"/>
      <c r="D278" s="82"/>
      <c r="E278" s="82"/>
      <c r="F278" s="82"/>
      <c r="G278" s="82"/>
      <c r="H278" s="83"/>
      <c r="I278" s="83"/>
      <c r="J278" s="82"/>
      <c r="K278" s="84"/>
      <c r="L278" s="84"/>
      <c r="M278" s="81" t="str">
        <f aca="false">IF(AND(L278&lt;&gt;"",Z278="Open"),L278-Settings!$C$13,"")</f>
        <v/>
      </c>
      <c r="N278" s="81" t="str">
        <f aca="false">IF(Z278&lt;&gt;"Open","",IF(L278="","",IF(L278&lt;Settings!$C$13,"OVERDUE",IF(L278&lt;=Settings!$C$13+Settings!C9,"AT RISK","OK"))))</f>
        <v/>
      </c>
      <c r="O278" s="83"/>
      <c r="P278" s="81"/>
      <c r="Q278" s="85"/>
      <c r="R278" s="85"/>
      <c r="S278" s="85"/>
      <c r="T278" s="85" t="str">
        <f aca="false">IF(AND(Q278&gt;0,R278&gt;0),Q278-R278,"")</f>
        <v/>
      </c>
      <c r="U278" s="86" t="str">
        <f aca="false">IFERROR(IF(AND(Q278&gt;0,R278&gt;0),(Q278-R278)/Q278,""),"")</f>
        <v/>
      </c>
      <c r="V278" s="82"/>
      <c r="W278" s="84"/>
      <c r="X278" s="81" t="str">
        <f aca="false">IF(AND(K278&lt;&gt;"",W278&lt;&gt;""),W278-K278,"")</f>
        <v/>
      </c>
      <c r="Y278" s="81" t="str">
        <f aca="false">IF(AND(X278&lt;&gt;"",X278&gt;0),IF(X278&lt;=Settings!C8,"Yes","No"),"")</f>
        <v/>
      </c>
      <c r="Z278" s="83"/>
      <c r="AA278" s="87"/>
      <c r="AB278" s="88" t="str">
        <f aca="false">IF(Z278&lt;&gt;"Closed","",IF(P278&gt;=Settings!$C$10,"OK","LOW"))</f>
        <v/>
      </c>
    </row>
    <row r="279" customFormat="false" ht="15.75" hidden="false" customHeight="true" outlineLevel="0" collapsed="false">
      <c r="B279" s="89" t="str">
        <f aca="false">IF(C279&lt;&gt;"",ROW()-11,"")</f>
        <v/>
      </c>
      <c r="C279" s="90"/>
      <c r="D279" s="90"/>
      <c r="E279" s="90"/>
      <c r="F279" s="90"/>
      <c r="G279" s="90"/>
      <c r="H279" s="91"/>
      <c r="I279" s="91"/>
      <c r="J279" s="90"/>
      <c r="K279" s="92"/>
      <c r="L279" s="92"/>
      <c r="M279" s="89" t="str">
        <f aca="false">IF(AND(L279&lt;&gt;"",Z279="Open"),L279-Settings!$C$13,"")</f>
        <v/>
      </c>
      <c r="N279" s="89" t="str">
        <f aca="false">IF(Z279&lt;&gt;"Open","",IF(L279="","",IF(L279&lt;Settings!$C$13,"OVERDUE",IF(L279&lt;=Settings!$C$13+Settings!C9,"AT RISK","OK"))))</f>
        <v/>
      </c>
      <c r="O279" s="91"/>
      <c r="P279" s="89"/>
      <c r="Q279" s="93"/>
      <c r="R279" s="93"/>
      <c r="S279" s="93"/>
      <c r="T279" s="93" t="str">
        <f aca="false">IF(AND(Q279&gt;0,R279&gt;0),Q279-R279,"")</f>
        <v/>
      </c>
      <c r="U279" s="94" t="str">
        <f aca="false">IFERROR(IF(AND(Q279&gt;0,R279&gt;0),(Q279-R279)/Q279,""),"")</f>
        <v/>
      </c>
      <c r="V279" s="90"/>
      <c r="W279" s="92"/>
      <c r="X279" s="89" t="str">
        <f aca="false">IF(AND(K279&lt;&gt;"",W279&lt;&gt;""),W279-K279,"")</f>
        <v/>
      </c>
      <c r="Y279" s="89" t="str">
        <f aca="false">IF(AND(X279&lt;&gt;"",X279&gt;0),IF(X279&lt;=Settings!C8,"Yes","No"),"")</f>
        <v/>
      </c>
      <c r="Z279" s="91"/>
      <c r="AA279" s="95"/>
      <c r="AB279" s="88" t="str">
        <f aca="false">IF(Z279&lt;&gt;"Closed","",IF(P279&gt;=Settings!$C$10,"OK","LOW"))</f>
        <v/>
      </c>
    </row>
    <row r="280" customFormat="false" ht="15.75" hidden="false" customHeight="true" outlineLevel="0" collapsed="false">
      <c r="B280" s="81" t="str">
        <f aca="false">IF(C280&lt;&gt;"",ROW()-11,"")</f>
        <v/>
      </c>
      <c r="C280" s="82"/>
      <c r="D280" s="82"/>
      <c r="E280" s="82"/>
      <c r="F280" s="82"/>
      <c r="G280" s="82"/>
      <c r="H280" s="83"/>
      <c r="I280" s="83"/>
      <c r="J280" s="82"/>
      <c r="K280" s="84"/>
      <c r="L280" s="84"/>
      <c r="M280" s="81" t="str">
        <f aca="false">IF(AND(L280&lt;&gt;"",Z280="Open"),L280-Settings!$C$13,"")</f>
        <v/>
      </c>
      <c r="N280" s="81" t="str">
        <f aca="false">IF(Z280&lt;&gt;"Open","",IF(L280="","",IF(L280&lt;Settings!$C$13,"OVERDUE",IF(L280&lt;=Settings!$C$13+Settings!C9,"AT RISK","OK"))))</f>
        <v/>
      </c>
      <c r="O280" s="83"/>
      <c r="P280" s="81"/>
      <c r="Q280" s="85"/>
      <c r="R280" s="85"/>
      <c r="S280" s="85"/>
      <c r="T280" s="85" t="str">
        <f aca="false">IF(AND(Q280&gt;0,R280&gt;0),Q280-R280,"")</f>
        <v/>
      </c>
      <c r="U280" s="86" t="str">
        <f aca="false">IFERROR(IF(AND(Q280&gt;0,R280&gt;0),(Q280-R280)/Q280,""),"")</f>
        <v/>
      </c>
      <c r="V280" s="82"/>
      <c r="W280" s="84"/>
      <c r="X280" s="81" t="str">
        <f aca="false">IF(AND(K280&lt;&gt;"",W280&lt;&gt;""),W280-K280,"")</f>
        <v/>
      </c>
      <c r="Y280" s="81" t="str">
        <f aca="false">IF(AND(X280&lt;&gt;"",X280&gt;0),IF(X280&lt;=Settings!C8,"Yes","No"),"")</f>
        <v/>
      </c>
      <c r="Z280" s="83"/>
      <c r="AA280" s="87"/>
      <c r="AB280" s="88" t="str">
        <f aca="false">IF(Z280&lt;&gt;"Closed","",IF(P280&gt;=Settings!$C$10,"OK","LOW"))</f>
        <v/>
      </c>
    </row>
    <row r="281" customFormat="false" ht="15.75" hidden="false" customHeight="true" outlineLevel="0" collapsed="false">
      <c r="B281" s="89" t="str">
        <f aca="false">IF(C281&lt;&gt;"",ROW()-11,"")</f>
        <v/>
      </c>
      <c r="C281" s="90"/>
      <c r="D281" s="90"/>
      <c r="E281" s="90"/>
      <c r="F281" s="90"/>
      <c r="G281" s="90"/>
      <c r="H281" s="91"/>
      <c r="I281" s="91"/>
      <c r="J281" s="90"/>
      <c r="K281" s="92"/>
      <c r="L281" s="92"/>
      <c r="M281" s="89" t="str">
        <f aca="false">IF(AND(L281&lt;&gt;"",Z281="Open"),L281-Settings!$C$13,"")</f>
        <v/>
      </c>
      <c r="N281" s="89" t="str">
        <f aca="false">IF(Z281&lt;&gt;"Open","",IF(L281="","",IF(L281&lt;Settings!$C$13,"OVERDUE",IF(L281&lt;=Settings!$C$13+Settings!C9,"AT RISK","OK"))))</f>
        <v/>
      </c>
      <c r="O281" s="91"/>
      <c r="P281" s="89"/>
      <c r="Q281" s="93"/>
      <c r="R281" s="93"/>
      <c r="S281" s="93"/>
      <c r="T281" s="93" t="str">
        <f aca="false">IF(AND(Q281&gt;0,R281&gt;0),Q281-R281,"")</f>
        <v/>
      </c>
      <c r="U281" s="94" t="str">
        <f aca="false">IFERROR(IF(AND(Q281&gt;0,R281&gt;0),(Q281-R281)/Q281,""),"")</f>
        <v/>
      </c>
      <c r="V281" s="90"/>
      <c r="W281" s="92"/>
      <c r="X281" s="89" t="str">
        <f aca="false">IF(AND(K281&lt;&gt;"",W281&lt;&gt;""),W281-K281,"")</f>
        <v/>
      </c>
      <c r="Y281" s="89" t="str">
        <f aca="false">IF(AND(X281&lt;&gt;"",X281&gt;0),IF(X281&lt;=Settings!C8,"Yes","No"),"")</f>
        <v/>
      </c>
      <c r="Z281" s="91"/>
      <c r="AA281" s="95"/>
      <c r="AB281" s="88" t="str">
        <f aca="false">IF(Z281&lt;&gt;"Closed","",IF(P281&gt;=Settings!$C$10,"OK","LOW"))</f>
        <v/>
      </c>
    </row>
    <row r="282" customFormat="false" ht="15.75" hidden="false" customHeight="true" outlineLevel="0" collapsed="false">
      <c r="B282" s="81" t="str">
        <f aca="false">IF(C282&lt;&gt;"",ROW()-11,"")</f>
        <v/>
      </c>
      <c r="C282" s="82"/>
      <c r="D282" s="82"/>
      <c r="E282" s="82"/>
      <c r="F282" s="82"/>
      <c r="G282" s="82"/>
      <c r="H282" s="83"/>
      <c r="I282" s="83"/>
      <c r="J282" s="82"/>
      <c r="K282" s="84"/>
      <c r="L282" s="84"/>
      <c r="M282" s="81" t="str">
        <f aca="false">IF(AND(L282&lt;&gt;"",Z282="Open"),L282-Settings!$C$13,"")</f>
        <v/>
      </c>
      <c r="N282" s="81" t="str">
        <f aca="false">IF(Z282&lt;&gt;"Open","",IF(L282="","",IF(L282&lt;Settings!$C$13,"OVERDUE",IF(L282&lt;=Settings!$C$13+Settings!C9,"AT RISK","OK"))))</f>
        <v/>
      </c>
      <c r="O282" s="83"/>
      <c r="P282" s="81"/>
      <c r="Q282" s="85"/>
      <c r="R282" s="85"/>
      <c r="S282" s="85"/>
      <c r="T282" s="85" t="str">
        <f aca="false">IF(AND(Q282&gt;0,R282&gt;0),Q282-R282,"")</f>
        <v/>
      </c>
      <c r="U282" s="86" t="str">
        <f aca="false">IFERROR(IF(AND(Q282&gt;0,R282&gt;0),(Q282-R282)/Q282,""),"")</f>
        <v/>
      </c>
      <c r="V282" s="82"/>
      <c r="W282" s="84"/>
      <c r="X282" s="81" t="str">
        <f aca="false">IF(AND(K282&lt;&gt;"",W282&lt;&gt;""),W282-K282,"")</f>
        <v/>
      </c>
      <c r="Y282" s="81" t="str">
        <f aca="false">IF(AND(X282&lt;&gt;"",X282&gt;0),IF(X282&lt;=Settings!C8,"Yes","No"),"")</f>
        <v/>
      </c>
      <c r="Z282" s="83"/>
      <c r="AA282" s="87"/>
      <c r="AB282" s="88" t="str">
        <f aca="false">IF(Z282&lt;&gt;"Closed","",IF(P282&gt;=Settings!$C$10,"OK","LOW"))</f>
        <v/>
      </c>
    </row>
    <row r="283" customFormat="false" ht="15.75" hidden="false" customHeight="true" outlineLevel="0" collapsed="false">
      <c r="B283" s="89" t="str">
        <f aca="false">IF(C283&lt;&gt;"",ROW()-11,"")</f>
        <v/>
      </c>
      <c r="C283" s="90"/>
      <c r="D283" s="90"/>
      <c r="E283" s="90"/>
      <c r="F283" s="90"/>
      <c r="G283" s="90"/>
      <c r="H283" s="91"/>
      <c r="I283" s="91"/>
      <c r="J283" s="90"/>
      <c r="K283" s="92"/>
      <c r="L283" s="92"/>
      <c r="M283" s="89" t="str">
        <f aca="false">IF(AND(L283&lt;&gt;"",Z283="Open"),L283-Settings!$C$13,"")</f>
        <v/>
      </c>
      <c r="N283" s="89" t="str">
        <f aca="false">IF(Z283&lt;&gt;"Open","",IF(L283="","",IF(L283&lt;Settings!$C$13,"OVERDUE",IF(L283&lt;=Settings!$C$13+Settings!C9,"AT RISK","OK"))))</f>
        <v/>
      </c>
      <c r="O283" s="91"/>
      <c r="P283" s="89"/>
      <c r="Q283" s="93"/>
      <c r="R283" s="93"/>
      <c r="S283" s="93"/>
      <c r="T283" s="93" t="str">
        <f aca="false">IF(AND(Q283&gt;0,R283&gt;0),Q283-R283,"")</f>
        <v/>
      </c>
      <c r="U283" s="94" t="str">
        <f aca="false">IFERROR(IF(AND(Q283&gt;0,R283&gt;0),(Q283-R283)/Q283,""),"")</f>
        <v/>
      </c>
      <c r="V283" s="90"/>
      <c r="W283" s="92"/>
      <c r="X283" s="89" t="str">
        <f aca="false">IF(AND(K283&lt;&gt;"",W283&lt;&gt;""),W283-K283,"")</f>
        <v/>
      </c>
      <c r="Y283" s="89" t="str">
        <f aca="false">IF(AND(X283&lt;&gt;"",X283&gt;0),IF(X283&lt;=Settings!C8,"Yes","No"),"")</f>
        <v/>
      </c>
      <c r="Z283" s="91"/>
      <c r="AA283" s="95"/>
      <c r="AB283" s="88" t="str">
        <f aca="false">IF(Z283&lt;&gt;"Closed","",IF(P283&gt;=Settings!$C$10,"OK","LOW"))</f>
        <v/>
      </c>
    </row>
    <row r="284" customFormat="false" ht="15.75" hidden="false" customHeight="true" outlineLevel="0" collapsed="false">
      <c r="B284" s="81" t="str">
        <f aca="false">IF(C284&lt;&gt;"",ROW()-11,"")</f>
        <v/>
      </c>
      <c r="C284" s="82"/>
      <c r="D284" s="82"/>
      <c r="E284" s="82"/>
      <c r="F284" s="82"/>
      <c r="G284" s="82"/>
      <c r="H284" s="83"/>
      <c r="I284" s="83"/>
      <c r="J284" s="82"/>
      <c r="K284" s="84"/>
      <c r="L284" s="84"/>
      <c r="M284" s="81" t="str">
        <f aca="false">IF(AND(L284&lt;&gt;"",Z284="Open"),L284-Settings!$C$13,"")</f>
        <v/>
      </c>
      <c r="N284" s="81" t="str">
        <f aca="false">IF(Z284&lt;&gt;"Open","",IF(L284="","",IF(L284&lt;Settings!$C$13,"OVERDUE",IF(L284&lt;=Settings!$C$13+Settings!C9,"AT RISK","OK"))))</f>
        <v/>
      </c>
      <c r="O284" s="83"/>
      <c r="P284" s="81"/>
      <c r="Q284" s="85"/>
      <c r="R284" s="85"/>
      <c r="S284" s="85"/>
      <c r="T284" s="85" t="str">
        <f aca="false">IF(AND(Q284&gt;0,R284&gt;0),Q284-R284,"")</f>
        <v/>
      </c>
      <c r="U284" s="86" t="str">
        <f aca="false">IFERROR(IF(AND(Q284&gt;0,R284&gt;0),(Q284-R284)/Q284,""),"")</f>
        <v/>
      </c>
      <c r="V284" s="82"/>
      <c r="W284" s="84"/>
      <c r="X284" s="81" t="str">
        <f aca="false">IF(AND(K284&lt;&gt;"",W284&lt;&gt;""),W284-K284,"")</f>
        <v/>
      </c>
      <c r="Y284" s="81" t="str">
        <f aca="false">IF(AND(X284&lt;&gt;"",X284&gt;0),IF(X284&lt;=Settings!C8,"Yes","No"),"")</f>
        <v/>
      </c>
      <c r="Z284" s="83"/>
      <c r="AA284" s="87"/>
      <c r="AB284" s="88" t="str">
        <f aca="false">IF(Z284&lt;&gt;"Closed","",IF(P284&gt;=Settings!$C$10,"OK","LOW"))</f>
        <v/>
      </c>
    </row>
    <row r="285" customFormat="false" ht="15.75" hidden="false" customHeight="true" outlineLevel="0" collapsed="false">
      <c r="B285" s="89" t="str">
        <f aca="false">IF(C285&lt;&gt;"",ROW()-11,"")</f>
        <v/>
      </c>
      <c r="C285" s="90"/>
      <c r="D285" s="90"/>
      <c r="E285" s="90"/>
      <c r="F285" s="90"/>
      <c r="G285" s="90"/>
      <c r="H285" s="91"/>
      <c r="I285" s="91"/>
      <c r="J285" s="90"/>
      <c r="K285" s="92"/>
      <c r="L285" s="92"/>
      <c r="M285" s="89" t="str">
        <f aca="false">IF(AND(L285&lt;&gt;"",Z285="Open"),L285-Settings!$C$13,"")</f>
        <v/>
      </c>
      <c r="N285" s="89" t="str">
        <f aca="false">IF(Z285&lt;&gt;"Open","",IF(L285="","",IF(L285&lt;Settings!$C$13,"OVERDUE",IF(L285&lt;=Settings!$C$13+Settings!C9,"AT RISK","OK"))))</f>
        <v/>
      </c>
      <c r="O285" s="91"/>
      <c r="P285" s="89"/>
      <c r="Q285" s="93"/>
      <c r="R285" s="93"/>
      <c r="S285" s="93"/>
      <c r="T285" s="93" t="str">
        <f aca="false">IF(AND(Q285&gt;0,R285&gt;0),Q285-R285,"")</f>
        <v/>
      </c>
      <c r="U285" s="94" t="str">
        <f aca="false">IFERROR(IF(AND(Q285&gt;0,R285&gt;0),(Q285-R285)/Q285,""),"")</f>
        <v/>
      </c>
      <c r="V285" s="90"/>
      <c r="W285" s="92"/>
      <c r="X285" s="89" t="str">
        <f aca="false">IF(AND(K285&lt;&gt;"",W285&lt;&gt;""),W285-K285,"")</f>
        <v/>
      </c>
      <c r="Y285" s="89" t="str">
        <f aca="false">IF(AND(X285&lt;&gt;"",X285&gt;0),IF(X285&lt;=Settings!C8,"Yes","No"),"")</f>
        <v/>
      </c>
      <c r="Z285" s="91"/>
      <c r="AA285" s="95"/>
      <c r="AB285" s="88" t="str">
        <f aca="false">IF(Z285&lt;&gt;"Closed","",IF(P285&gt;=Settings!$C$10,"OK","LOW"))</f>
        <v/>
      </c>
    </row>
    <row r="286" customFormat="false" ht="15.75" hidden="false" customHeight="true" outlineLevel="0" collapsed="false">
      <c r="B286" s="81" t="str">
        <f aca="false">IF(C286&lt;&gt;"",ROW()-11,"")</f>
        <v/>
      </c>
      <c r="C286" s="82"/>
      <c r="D286" s="82"/>
      <c r="E286" s="82"/>
      <c r="F286" s="82"/>
      <c r="G286" s="82"/>
      <c r="H286" s="83"/>
      <c r="I286" s="83"/>
      <c r="J286" s="82"/>
      <c r="K286" s="84"/>
      <c r="L286" s="84"/>
      <c r="M286" s="81" t="str">
        <f aca="false">IF(AND(L286&lt;&gt;"",Z286="Open"),L286-Settings!$C$13,"")</f>
        <v/>
      </c>
      <c r="N286" s="81" t="str">
        <f aca="false">IF(Z286&lt;&gt;"Open","",IF(L286="","",IF(L286&lt;Settings!$C$13,"OVERDUE",IF(L286&lt;=Settings!$C$13+Settings!C9,"AT RISK","OK"))))</f>
        <v/>
      </c>
      <c r="O286" s="83"/>
      <c r="P286" s="81"/>
      <c r="Q286" s="85"/>
      <c r="R286" s="85"/>
      <c r="S286" s="85"/>
      <c r="T286" s="85" t="str">
        <f aca="false">IF(AND(Q286&gt;0,R286&gt;0),Q286-R286,"")</f>
        <v/>
      </c>
      <c r="U286" s="86" t="str">
        <f aca="false">IFERROR(IF(AND(Q286&gt;0,R286&gt;0),(Q286-R286)/Q286,""),"")</f>
        <v/>
      </c>
      <c r="V286" s="82"/>
      <c r="W286" s="84"/>
      <c r="X286" s="81" t="str">
        <f aca="false">IF(AND(K286&lt;&gt;"",W286&lt;&gt;""),W286-K286,"")</f>
        <v/>
      </c>
      <c r="Y286" s="81" t="str">
        <f aca="false">IF(AND(X286&lt;&gt;"",X286&gt;0),IF(X286&lt;=Settings!C8,"Yes","No"),"")</f>
        <v/>
      </c>
      <c r="Z286" s="83"/>
      <c r="AA286" s="87"/>
      <c r="AB286" s="88" t="str">
        <f aca="false">IF(Z286&lt;&gt;"Closed","",IF(P286&gt;=Settings!$C$10,"OK","LOW"))</f>
        <v/>
      </c>
    </row>
    <row r="287" customFormat="false" ht="15.75" hidden="false" customHeight="true" outlineLevel="0" collapsed="false">
      <c r="B287" s="89" t="str">
        <f aca="false">IF(C287&lt;&gt;"",ROW()-11,"")</f>
        <v/>
      </c>
      <c r="C287" s="90"/>
      <c r="D287" s="90"/>
      <c r="E287" s="90"/>
      <c r="F287" s="90"/>
      <c r="G287" s="90"/>
      <c r="H287" s="91"/>
      <c r="I287" s="91"/>
      <c r="J287" s="90"/>
      <c r="K287" s="92"/>
      <c r="L287" s="92"/>
      <c r="M287" s="89" t="str">
        <f aca="false">IF(AND(L287&lt;&gt;"",Z287="Open"),L287-Settings!$C$13,"")</f>
        <v/>
      </c>
      <c r="N287" s="89" t="str">
        <f aca="false">IF(Z287&lt;&gt;"Open","",IF(L287="","",IF(L287&lt;Settings!$C$13,"OVERDUE",IF(L287&lt;=Settings!$C$13+Settings!C9,"AT RISK","OK"))))</f>
        <v/>
      </c>
      <c r="O287" s="91"/>
      <c r="P287" s="89"/>
      <c r="Q287" s="93"/>
      <c r="R287" s="93"/>
      <c r="S287" s="93"/>
      <c r="T287" s="93" t="str">
        <f aca="false">IF(AND(Q287&gt;0,R287&gt;0),Q287-R287,"")</f>
        <v/>
      </c>
      <c r="U287" s="94" t="str">
        <f aca="false">IFERROR(IF(AND(Q287&gt;0,R287&gt;0),(Q287-R287)/Q287,""),"")</f>
        <v/>
      </c>
      <c r="V287" s="90"/>
      <c r="W287" s="92"/>
      <c r="X287" s="89" t="str">
        <f aca="false">IF(AND(K287&lt;&gt;"",W287&lt;&gt;""),W287-K287,"")</f>
        <v/>
      </c>
      <c r="Y287" s="89" t="str">
        <f aca="false">IF(AND(X287&lt;&gt;"",X287&gt;0),IF(X287&lt;=Settings!C8,"Yes","No"),"")</f>
        <v/>
      </c>
      <c r="Z287" s="91"/>
      <c r="AA287" s="95"/>
      <c r="AB287" s="88" t="str">
        <f aca="false">IF(Z287&lt;&gt;"Closed","",IF(P287&gt;=Settings!$C$10,"OK","LOW"))</f>
        <v/>
      </c>
    </row>
    <row r="288" customFormat="false" ht="15.75" hidden="false" customHeight="true" outlineLevel="0" collapsed="false">
      <c r="B288" s="81" t="str">
        <f aca="false">IF(C288&lt;&gt;"",ROW()-11,"")</f>
        <v/>
      </c>
      <c r="C288" s="82"/>
      <c r="D288" s="82"/>
      <c r="E288" s="82"/>
      <c r="F288" s="82"/>
      <c r="G288" s="82"/>
      <c r="H288" s="83"/>
      <c r="I288" s="83"/>
      <c r="J288" s="82"/>
      <c r="K288" s="84"/>
      <c r="L288" s="84"/>
      <c r="M288" s="81" t="str">
        <f aca="false">IF(AND(L288&lt;&gt;"",Z288="Open"),L288-Settings!$C$13,"")</f>
        <v/>
      </c>
      <c r="N288" s="81" t="str">
        <f aca="false">IF(Z288&lt;&gt;"Open","",IF(L288="","",IF(L288&lt;Settings!$C$13,"OVERDUE",IF(L288&lt;=Settings!$C$13+Settings!C9,"AT RISK","OK"))))</f>
        <v/>
      </c>
      <c r="O288" s="83"/>
      <c r="P288" s="81"/>
      <c r="Q288" s="85"/>
      <c r="R288" s="85"/>
      <c r="S288" s="85"/>
      <c r="T288" s="85" t="str">
        <f aca="false">IF(AND(Q288&gt;0,R288&gt;0),Q288-R288,"")</f>
        <v/>
      </c>
      <c r="U288" s="86" t="str">
        <f aca="false">IFERROR(IF(AND(Q288&gt;0,R288&gt;0),(Q288-R288)/Q288,""),"")</f>
        <v/>
      </c>
      <c r="V288" s="82"/>
      <c r="W288" s="84"/>
      <c r="X288" s="81" t="str">
        <f aca="false">IF(AND(K288&lt;&gt;"",W288&lt;&gt;""),W288-K288,"")</f>
        <v/>
      </c>
      <c r="Y288" s="81" t="str">
        <f aca="false">IF(AND(X288&lt;&gt;"",X288&gt;0),IF(X288&lt;=Settings!C8,"Yes","No"),"")</f>
        <v/>
      </c>
      <c r="Z288" s="83"/>
      <c r="AA288" s="87"/>
      <c r="AB288" s="88" t="str">
        <f aca="false">IF(Z288&lt;&gt;"Closed","",IF(P288&gt;=Settings!$C$10,"OK","LOW"))</f>
        <v/>
      </c>
    </row>
    <row r="289" customFormat="false" ht="15.75" hidden="false" customHeight="true" outlineLevel="0" collapsed="false">
      <c r="B289" s="89" t="str">
        <f aca="false">IF(C289&lt;&gt;"",ROW()-11,"")</f>
        <v/>
      </c>
      <c r="C289" s="90"/>
      <c r="D289" s="90"/>
      <c r="E289" s="90"/>
      <c r="F289" s="90"/>
      <c r="G289" s="90"/>
      <c r="H289" s="91"/>
      <c r="I289" s="91"/>
      <c r="J289" s="90"/>
      <c r="K289" s="92"/>
      <c r="L289" s="92"/>
      <c r="M289" s="89" t="str">
        <f aca="false">IF(AND(L289&lt;&gt;"",Z289="Open"),L289-Settings!$C$13,"")</f>
        <v/>
      </c>
      <c r="N289" s="89" t="str">
        <f aca="false">IF(Z289&lt;&gt;"Open","",IF(L289="","",IF(L289&lt;Settings!$C$13,"OVERDUE",IF(L289&lt;=Settings!$C$13+Settings!C9,"AT RISK","OK"))))</f>
        <v/>
      </c>
      <c r="O289" s="91"/>
      <c r="P289" s="89"/>
      <c r="Q289" s="93"/>
      <c r="R289" s="93"/>
      <c r="S289" s="93"/>
      <c r="T289" s="93" t="str">
        <f aca="false">IF(AND(Q289&gt;0,R289&gt;0),Q289-R289,"")</f>
        <v/>
      </c>
      <c r="U289" s="94" t="str">
        <f aca="false">IFERROR(IF(AND(Q289&gt;0,R289&gt;0),(Q289-R289)/Q289,""),"")</f>
        <v/>
      </c>
      <c r="V289" s="90"/>
      <c r="W289" s="92"/>
      <c r="X289" s="89" t="str">
        <f aca="false">IF(AND(K289&lt;&gt;"",W289&lt;&gt;""),W289-K289,"")</f>
        <v/>
      </c>
      <c r="Y289" s="89" t="str">
        <f aca="false">IF(AND(X289&lt;&gt;"",X289&gt;0),IF(X289&lt;=Settings!C8,"Yes","No"),"")</f>
        <v/>
      </c>
      <c r="Z289" s="91"/>
      <c r="AA289" s="95"/>
      <c r="AB289" s="88" t="str">
        <f aca="false">IF(Z289&lt;&gt;"Closed","",IF(P289&gt;=Settings!$C$10,"OK","LOW"))</f>
        <v/>
      </c>
    </row>
    <row r="290" customFormat="false" ht="15.75" hidden="false" customHeight="true" outlineLevel="0" collapsed="false">
      <c r="B290" s="81" t="str">
        <f aca="false">IF(C290&lt;&gt;"",ROW()-11,"")</f>
        <v/>
      </c>
      <c r="C290" s="82"/>
      <c r="D290" s="82"/>
      <c r="E290" s="82"/>
      <c r="F290" s="82"/>
      <c r="G290" s="82"/>
      <c r="H290" s="83"/>
      <c r="I290" s="83"/>
      <c r="J290" s="82"/>
      <c r="K290" s="84"/>
      <c r="L290" s="84"/>
      <c r="M290" s="81" t="str">
        <f aca="false">IF(AND(L290&lt;&gt;"",Z290="Open"),L290-Settings!$C$13,"")</f>
        <v/>
      </c>
      <c r="N290" s="81" t="str">
        <f aca="false">IF(Z290&lt;&gt;"Open","",IF(L290="","",IF(L290&lt;Settings!$C$13,"OVERDUE",IF(L290&lt;=Settings!$C$13+Settings!C9,"AT RISK","OK"))))</f>
        <v/>
      </c>
      <c r="O290" s="83"/>
      <c r="P290" s="81"/>
      <c r="Q290" s="85"/>
      <c r="R290" s="85"/>
      <c r="S290" s="85"/>
      <c r="T290" s="85" t="str">
        <f aca="false">IF(AND(Q290&gt;0,R290&gt;0),Q290-R290,"")</f>
        <v/>
      </c>
      <c r="U290" s="86" t="str">
        <f aca="false">IFERROR(IF(AND(Q290&gt;0,R290&gt;0),(Q290-R290)/Q290,""),"")</f>
        <v/>
      </c>
      <c r="V290" s="82"/>
      <c r="W290" s="84"/>
      <c r="X290" s="81" t="str">
        <f aca="false">IF(AND(K290&lt;&gt;"",W290&lt;&gt;""),W290-K290,"")</f>
        <v/>
      </c>
      <c r="Y290" s="81" t="str">
        <f aca="false">IF(AND(X290&lt;&gt;"",X290&gt;0),IF(X290&lt;=Settings!C8,"Yes","No"),"")</f>
        <v/>
      </c>
      <c r="Z290" s="83"/>
      <c r="AA290" s="87"/>
      <c r="AB290" s="88" t="str">
        <f aca="false">IF(Z290&lt;&gt;"Closed","",IF(P290&gt;=Settings!$C$10,"OK","LOW"))</f>
        <v/>
      </c>
    </row>
    <row r="291" customFormat="false" ht="15.75" hidden="false" customHeight="true" outlineLevel="0" collapsed="false">
      <c r="B291" s="89" t="str">
        <f aca="false">IF(C291&lt;&gt;"",ROW()-11,"")</f>
        <v/>
      </c>
      <c r="C291" s="90"/>
      <c r="D291" s="90"/>
      <c r="E291" s="90"/>
      <c r="F291" s="90"/>
      <c r="G291" s="90"/>
      <c r="H291" s="91"/>
      <c r="I291" s="91"/>
      <c r="J291" s="90"/>
      <c r="K291" s="92"/>
      <c r="L291" s="92"/>
      <c r="M291" s="89" t="str">
        <f aca="false">IF(AND(L291&lt;&gt;"",Z291="Open"),L291-Settings!$C$13,"")</f>
        <v/>
      </c>
      <c r="N291" s="89" t="str">
        <f aca="false">IF(Z291&lt;&gt;"Open","",IF(L291="","",IF(L291&lt;Settings!$C$13,"OVERDUE",IF(L291&lt;=Settings!$C$13+Settings!C9,"AT RISK","OK"))))</f>
        <v/>
      </c>
      <c r="O291" s="91"/>
      <c r="P291" s="89"/>
      <c r="Q291" s="93"/>
      <c r="R291" s="93"/>
      <c r="S291" s="93"/>
      <c r="T291" s="93" t="str">
        <f aca="false">IF(AND(Q291&gt;0,R291&gt;0),Q291-R291,"")</f>
        <v/>
      </c>
      <c r="U291" s="94" t="str">
        <f aca="false">IFERROR(IF(AND(Q291&gt;0,R291&gt;0),(Q291-R291)/Q291,""),"")</f>
        <v/>
      </c>
      <c r="V291" s="90"/>
      <c r="W291" s="92"/>
      <c r="X291" s="89" t="str">
        <f aca="false">IF(AND(K291&lt;&gt;"",W291&lt;&gt;""),W291-K291,"")</f>
        <v/>
      </c>
      <c r="Y291" s="89" t="str">
        <f aca="false">IF(AND(X291&lt;&gt;"",X291&gt;0),IF(X291&lt;=Settings!C8,"Yes","No"),"")</f>
        <v/>
      </c>
      <c r="Z291" s="91"/>
      <c r="AA291" s="95"/>
      <c r="AB291" s="88" t="str">
        <f aca="false">IF(Z291&lt;&gt;"Closed","",IF(P291&gt;=Settings!$C$10,"OK","LOW"))</f>
        <v/>
      </c>
    </row>
    <row r="292" customFormat="false" ht="15.75" hidden="false" customHeight="true" outlineLevel="0" collapsed="false">
      <c r="B292" s="81" t="str">
        <f aca="false">IF(C292&lt;&gt;"",ROW()-11,"")</f>
        <v/>
      </c>
      <c r="C292" s="82"/>
      <c r="D292" s="82"/>
      <c r="E292" s="82"/>
      <c r="F292" s="82"/>
      <c r="G292" s="82"/>
      <c r="H292" s="83"/>
      <c r="I292" s="83"/>
      <c r="J292" s="82"/>
      <c r="K292" s="84"/>
      <c r="L292" s="84"/>
      <c r="M292" s="81" t="str">
        <f aca="false">IF(AND(L292&lt;&gt;"",Z292="Open"),L292-Settings!$C$13,"")</f>
        <v/>
      </c>
      <c r="N292" s="81" t="str">
        <f aca="false">IF(Z292&lt;&gt;"Open","",IF(L292="","",IF(L292&lt;Settings!$C$13,"OVERDUE",IF(L292&lt;=Settings!$C$13+Settings!C9,"AT RISK","OK"))))</f>
        <v/>
      </c>
      <c r="O292" s="83"/>
      <c r="P292" s="81"/>
      <c r="Q292" s="85"/>
      <c r="R292" s="85"/>
      <c r="S292" s="85"/>
      <c r="T292" s="85" t="str">
        <f aca="false">IF(AND(Q292&gt;0,R292&gt;0),Q292-R292,"")</f>
        <v/>
      </c>
      <c r="U292" s="86" t="str">
        <f aca="false">IFERROR(IF(AND(Q292&gt;0,R292&gt;0),(Q292-R292)/Q292,""),"")</f>
        <v/>
      </c>
      <c r="V292" s="82"/>
      <c r="W292" s="84"/>
      <c r="X292" s="81" t="str">
        <f aca="false">IF(AND(K292&lt;&gt;"",W292&lt;&gt;""),W292-K292,"")</f>
        <v/>
      </c>
      <c r="Y292" s="81" t="str">
        <f aca="false">IF(AND(X292&lt;&gt;"",X292&gt;0),IF(X292&lt;=Settings!C8,"Yes","No"),"")</f>
        <v/>
      </c>
      <c r="Z292" s="83"/>
      <c r="AA292" s="87"/>
      <c r="AB292" s="88" t="str">
        <f aca="false">IF(Z292&lt;&gt;"Closed","",IF(P292&gt;=Settings!$C$10,"OK","LOW"))</f>
        <v/>
      </c>
    </row>
    <row r="293" customFormat="false" ht="15.75" hidden="false" customHeight="true" outlineLevel="0" collapsed="false">
      <c r="B293" s="89" t="str">
        <f aca="false">IF(C293&lt;&gt;"",ROW()-11,"")</f>
        <v/>
      </c>
      <c r="C293" s="90"/>
      <c r="D293" s="90"/>
      <c r="E293" s="90"/>
      <c r="F293" s="90"/>
      <c r="G293" s="90"/>
      <c r="H293" s="91"/>
      <c r="I293" s="91"/>
      <c r="J293" s="90"/>
      <c r="K293" s="92"/>
      <c r="L293" s="92"/>
      <c r="M293" s="89" t="str">
        <f aca="false">IF(AND(L293&lt;&gt;"",Z293="Open"),L293-Settings!$C$13,"")</f>
        <v/>
      </c>
      <c r="N293" s="89" t="str">
        <f aca="false">IF(Z293&lt;&gt;"Open","",IF(L293="","",IF(L293&lt;Settings!$C$13,"OVERDUE",IF(L293&lt;=Settings!$C$13+Settings!C9,"AT RISK","OK"))))</f>
        <v/>
      </c>
      <c r="O293" s="91"/>
      <c r="P293" s="89"/>
      <c r="Q293" s="93"/>
      <c r="R293" s="93"/>
      <c r="S293" s="93"/>
      <c r="T293" s="93" t="str">
        <f aca="false">IF(AND(Q293&gt;0,R293&gt;0),Q293-R293,"")</f>
        <v/>
      </c>
      <c r="U293" s="94" t="str">
        <f aca="false">IFERROR(IF(AND(Q293&gt;0,R293&gt;0),(Q293-R293)/Q293,""),"")</f>
        <v/>
      </c>
      <c r="V293" s="90"/>
      <c r="W293" s="92"/>
      <c r="X293" s="89" t="str">
        <f aca="false">IF(AND(K293&lt;&gt;"",W293&lt;&gt;""),W293-K293,"")</f>
        <v/>
      </c>
      <c r="Y293" s="89" t="str">
        <f aca="false">IF(AND(X293&lt;&gt;"",X293&gt;0),IF(X293&lt;=Settings!C8,"Yes","No"),"")</f>
        <v/>
      </c>
      <c r="Z293" s="91"/>
      <c r="AA293" s="95"/>
      <c r="AB293" s="88" t="str">
        <f aca="false">IF(Z293&lt;&gt;"Closed","",IF(P293&gt;=Settings!$C$10,"OK","LOW"))</f>
        <v/>
      </c>
    </row>
    <row r="294" customFormat="false" ht="15.75" hidden="false" customHeight="true" outlineLevel="0" collapsed="false">
      <c r="B294" s="81" t="str">
        <f aca="false">IF(C294&lt;&gt;"",ROW()-11,"")</f>
        <v/>
      </c>
      <c r="C294" s="82"/>
      <c r="D294" s="82"/>
      <c r="E294" s="82"/>
      <c r="F294" s="82"/>
      <c r="G294" s="82"/>
      <c r="H294" s="83"/>
      <c r="I294" s="83"/>
      <c r="J294" s="82"/>
      <c r="K294" s="84"/>
      <c r="L294" s="84"/>
      <c r="M294" s="81" t="str">
        <f aca="false">IF(AND(L294&lt;&gt;"",Z294="Open"),L294-Settings!$C$13,"")</f>
        <v/>
      </c>
      <c r="N294" s="81" t="str">
        <f aca="false">IF(Z294&lt;&gt;"Open","",IF(L294="","",IF(L294&lt;Settings!$C$13,"OVERDUE",IF(L294&lt;=Settings!$C$13+Settings!C9,"AT RISK","OK"))))</f>
        <v/>
      </c>
      <c r="O294" s="83"/>
      <c r="P294" s="81"/>
      <c r="Q294" s="85"/>
      <c r="R294" s="85"/>
      <c r="S294" s="85"/>
      <c r="T294" s="85" t="str">
        <f aca="false">IF(AND(Q294&gt;0,R294&gt;0),Q294-R294,"")</f>
        <v/>
      </c>
      <c r="U294" s="86" t="str">
        <f aca="false">IFERROR(IF(AND(Q294&gt;0,R294&gt;0),(Q294-R294)/Q294,""),"")</f>
        <v/>
      </c>
      <c r="V294" s="82"/>
      <c r="W294" s="84"/>
      <c r="X294" s="81" t="str">
        <f aca="false">IF(AND(K294&lt;&gt;"",W294&lt;&gt;""),W294-K294,"")</f>
        <v/>
      </c>
      <c r="Y294" s="81" t="str">
        <f aca="false">IF(AND(X294&lt;&gt;"",X294&gt;0),IF(X294&lt;=Settings!C8,"Yes","No"),"")</f>
        <v/>
      </c>
      <c r="Z294" s="83"/>
      <c r="AA294" s="87"/>
      <c r="AB294" s="88" t="str">
        <f aca="false">IF(Z294&lt;&gt;"Closed","",IF(P294&gt;=Settings!$C$10,"OK","LOW"))</f>
        <v/>
      </c>
    </row>
    <row r="295" customFormat="false" ht="15.75" hidden="false" customHeight="true" outlineLevel="0" collapsed="false">
      <c r="B295" s="89" t="str">
        <f aca="false">IF(C295&lt;&gt;"",ROW()-11,"")</f>
        <v/>
      </c>
      <c r="C295" s="90"/>
      <c r="D295" s="90"/>
      <c r="E295" s="90"/>
      <c r="F295" s="90"/>
      <c r="G295" s="90"/>
      <c r="H295" s="91"/>
      <c r="I295" s="91"/>
      <c r="J295" s="90"/>
      <c r="K295" s="92"/>
      <c r="L295" s="92"/>
      <c r="M295" s="89" t="str">
        <f aca="false">IF(AND(L295&lt;&gt;"",Z295="Open"),L295-Settings!$C$13,"")</f>
        <v/>
      </c>
      <c r="N295" s="89" t="str">
        <f aca="false">IF(Z295&lt;&gt;"Open","",IF(L295="","",IF(L295&lt;Settings!$C$13,"OVERDUE",IF(L295&lt;=Settings!$C$13+Settings!C9,"AT RISK","OK"))))</f>
        <v/>
      </c>
      <c r="O295" s="91"/>
      <c r="P295" s="89"/>
      <c r="Q295" s="93"/>
      <c r="R295" s="93"/>
      <c r="S295" s="93"/>
      <c r="T295" s="93" t="str">
        <f aca="false">IF(AND(Q295&gt;0,R295&gt;0),Q295-R295,"")</f>
        <v/>
      </c>
      <c r="U295" s="94" t="str">
        <f aca="false">IFERROR(IF(AND(Q295&gt;0,R295&gt;0),(Q295-R295)/Q295,""),"")</f>
        <v/>
      </c>
      <c r="V295" s="90"/>
      <c r="W295" s="92"/>
      <c r="X295" s="89" t="str">
        <f aca="false">IF(AND(K295&lt;&gt;"",W295&lt;&gt;""),W295-K295,"")</f>
        <v/>
      </c>
      <c r="Y295" s="89" t="str">
        <f aca="false">IF(AND(X295&lt;&gt;"",X295&gt;0),IF(X295&lt;=Settings!C8,"Yes","No"),"")</f>
        <v/>
      </c>
      <c r="Z295" s="91"/>
      <c r="AA295" s="95"/>
      <c r="AB295" s="88" t="str">
        <f aca="false">IF(Z295&lt;&gt;"Closed","",IF(P295&gt;=Settings!$C$10,"OK","LOW"))</f>
        <v/>
      </c>
    </row>
    <row r="296" customFormat="false" ht="15.75" hidden="false" customHeight="true" outlineLevel="0" collapsed="false">
      <c r="B296" s="81" t="str">
        <f aca="false">IF(C296&lt;&gt;"",ROW()-11,"")</f>
        <v/>
      </c>
      <c r="C296" s="82"/>
      <c r="D296" s="82"/>
      <c r="E296" s="82"/>
      <c r="F296" s="82"/>
      <c r="G296" s="82"/>
      <c r="H296" s="83"/>
      <c r="I296" s="83"/>
      <c r="J296" s="82"/>
      <c r="K296" s="84"/>
      <c r="L296" s="84"/>
      <c r="M296" s="81" t="str">
        <f aca="false">IF(AND(L296&lt;&gt;"",Z296="Open"),L296-Settings!$C$13,"")</f>
        <v/>
      </c>
      <c r="N296" s="81" t="str">
        <f aca="false">IF(Z296&lt;&gt;"Open","",IF(L296="","",IF(L296&lt;Settings!$C$13,"OVERDUE",IF(L296&lt;=Settings!$C$13+Settings!C9,"AT RISK","OK"))))</f>
        <v/>
      </c>
      <c r="O296" s="83"/>
      <c r="P296" s="81"/>
      <c r="Q296" s="85"/>
      <c r="R296" s="85"/>
      <c r="S296" s="85"/>
      <c r="T296" s="85" t="str">
        <f aca="false">IF(AND(Q296&gt;0,R296&gt;0),Q296-R296,"")</f>
        <v/>
      </c>
      <c r="U296" s="86" t="str">
        <f aca="false">IFERROR(IF(AND(Q296&gt;0,R296&gt;0),(Q296-R296)/Q296,""),"")</f>
        <v/>
      </c>
      <c r="V296" s="82"/>
      <c r="W296" s="84"/>
      <c r="X296" s="81" t="str">
        <f aca="false">IF(AND(K296&lt;&gt;"",W296&lt;&gt;""),W296-K296,"")</f>
        <v/>
      </c>
      <c r="Y296" s="81" t="str">
        <f aca="false">IF(AND(X296&lt;&gt;"",X296&gt;0),IF(X296&lt;=Settings!C8,"Yes","No"),"")</f>
        <v/>
      </c>
      <c r="Z296" s="83"/>
      <c r="AA296" s="87"/>
      <c r="AB296" s="88" t="str">
        <f aca="false">IF(Z296&lt;&gt;"Closed","",IF(P296&gt;=Settings!$C$10,"OK","LOW"))</f>
        <v/>
      </c>
    </row>
    <row r="297" customFormat="false" ht="15.75" hidden="false" customHeight="true" outlineLevel="0" collapsed="false">
      <c r="B297" s="89" t="str">
        <f aca="false">IF(C297&lt;&gt;"",ROW()-11,"")</f>
        <v/>
      </c>
      <c r="C297" s="90"/>
      <c r="D297" s="90"/>
      <c r="E297" s="90"/>
      <c r="F297" s="90"/>
      <c r="G297" s="90"/>
      <c r="H297" s="91"/>
      <c r="I297" s="91"/>
      <c r="J297" s="90"/>
      <c r="K297" s="92"/>
      <c r="L297" s="92"/>
      <c r="M297" s="89" t="str">
        <f aca="false">IF(AND(L297&lt;&gt;"",Z297="Open"),L297-Settings!$C$13,"")</f>
        <v/>
      </c>
      <c r="N297" s="89" t="str">
        <f aca="false">IF(Z297&lt;&gt;"Open","",IF(L297="","",IF(L297&lt;Settings!$C$13,"OVERDUE",IF(L297&lt;=Settings!$C$13+Settings!C9,"AT RISK","OK"))))</f>
        <v/>
      </c>
      <c r="O297" s="91"/>
      <c r="P297" s="89"/>
      <c r="Q297" s="93"/>
      <c r="R297" s="93"/>
      <c r="S297" s="93"/>
      <c r="T297" s="93" t="str">
        <f aca="false">IF(AND(Q297&gt;0,R297&gt;0),Q297-R297,"")</f>
        <v/>
      </c>
      <c r="U297" s="94" t="str">
        <f aca="false">IFERROR(IF(AND(Q297&gt;0,R297&gt;0),(Q297-R297)/Q297,""),"")</f>
        <v/>
      </c>
      <c r="V297" s="90"/>
      <c r="W297" s="92"/>
      <c r="X297" s="89" t="str">
        <f aca="false">IF(AND(K297&lt;&gt;"",W297&lt;&gt;""),W297-K297,"")</f>
        <v/>
      </c>
      <c r="Y297" s="89" t="str">
        <f aca="false">IF(AND(X297&lt;&gt;"",X297&gt;0),IF(X297&lt;=Settings!C8,"Yes","No"),"")</f>
        <v/>
      </c>
      <c r="Z297" s="91"/>
      <c r="AA297" s="95"/>
      <c r="AB297" s="88" t="str">
        <f aca="false">IF(Z297&lt;&gt;"Closed","",IF(P297&gt;=Settings!$C$10,"OK","LOW"))</f>
        <v/>
      </c>
    </row>
    <row r="298" customFormat="false" ht="15.75" hidden="false" customHeight="true" outlineLevel="0" collapsed="false">
      <c r="B298" s="81" t="str">
        <f aca="false">IF(C298&lt;&gt;"",ROW()-11,"")</f>
        <v/>
      </c>
      <c r="C298" s="82"/>
      <c r="D298" s="82"/>
      <c r="E298" s="82"/>
      <c r="F298" s="82"/>
      <c r="G298" s="82"/>
      <c r="H298" s="83"/>
      <c r="I298" s="83"/>
      <c r="J298" s="82"/>
      <c r="K298" s="84"/>
      <c r="L298" s="84"/>
      <c r="M298" s="81" t="str">
        <f aca="false">IF(AND(L298&lt;&gt;"",Z298="Open"),L298-Settings!$C$13,"")</f>
        <v/>
      </c>
      <c r="N298" s="81" t="str">
        <f aca="false">IF(Z298&lt;&gt;"Open","",IF(L298="","",IF(L298&lt;Settings!$C$13,"OVERDUE",IF(L298&lt;=Settings!$C$13+Settings!C9,"AT RISK","OK"))))</f>
        <v/>
      </c>
      <c r="O298" s="83"/>
      <c r="P298" s="81"/>
      <c r="Q298" s="85"/>
      <c r="R298" s="85"/>
      <c r="S298" s="85"/>
      <c r="T298" s="85" t="str">
        <f aca="false">IF(AND(Q298&gt;0,R298&gt;0),Q298-R298,"")</f>
        <v/>
      </c>
      <c r="U298" s="86" t="str">
        <f aca="false">IFERROR(IF(AND(Q298&gt;0,R298&gt;0),(Q298-R298)/Q298,""),"")</f>
        <v/>
      </c>
      <c r="V298" s="82"/>
      <c r="W298" s="84"/>
      <c r="X298" s="81" t="str">
        <f aca="false">IF(AND(K298&lt;&gt;"",W298&lt;&gt;""),W298-K298,"")</f>
        <v/>
      </c>
      <c r="Y298" s="81" t="str">
        <f aca="false">IF(AND(X298&lt;&gt;"",X298&gt;0),IF(X298&lt;=Settings!C8,"Yes","No"),"")</f>
        <v/>
      </c>
      <c r="Z298" s="83"/>
      <c r="AA298" s="87"/>
      <c r="AB298" s="88" t="str">
        <f aca="false">IF(Z298&lt;&gt;"Closed","",IF(P298&gt;=Settings!$C$10,"OK","LOW"))</f>
        <v/>
      </c>
    </row>
    <row r="299" customFormat="false" ht="15.75" hidden="false" customHeight="true" outlineLevel="0" collapsed="false">
      <c r="B299" s="89" t="str">
        <f aca="false">IF(C299&lt;&gt;"",ROW()-11,"")</f>
        <v/>
      </c>
      <c r="C299" s="90"/>
      <c r="D299" s="90"/>
      <c r="E299" s="90"/>
      <c r="F299" s="90"/>
      <c r="G299" s="90"/>
      <c r="H299" s="91"/>
      <c r="I299" s="91"/>
      <c r="J299" s="90"/>
      <c r="K299" s="92"/>
      <c r="L299" s="92"/>
      <c r="M299" s="89" t="str">
        <f aca="false">IF(AND(L299&lt;&gt;"",Z299="Open"),L299-Settings!$C$13,"")</f>
        <v/>
      </c>
      <c r="N299" s="89" t="str">
        <f aca="false">IF(Z299&lt;&gt;"Open","",IF(L299="","",IF(L299&lt;Settings!$C$13,"OVERDUE",IF(L299&lt;=Settings!$C$13+Settings!C9,"AT RISK","OK"))))</f>
        <v/>
      </c>
      <c r="O299" s="91"/>
      <c r="P299" s="89"/>
      <c r="Q299" s="93"/>
      <c r="R299" s="93"/>
      <c r="S299" s="93"/>
      <c r="T299" s="93" t="str">
        <f aca="false">IF(AND(Q299&gt;0,R299&gt;0),Q299-R299,"")</f>
        <v/>
      </c>
      <c r="U299" s="94" t="str">
        <f aca="false">IFERROR(IF(AND(Q299&gt;0,R299&gt;0),(Q299-R299)/Q299,""),"")</f>
        <v/>
      </c>
      <c r="V299" s="90"/>
      <c r="W299" s="92"/>
      <c r="X299" s="89" t="str">
        <f aca="false">IF(AND(K299&lt;&gt;"",W299&lt;&gt;""),W299-K299,"")</f>
        <v/>
      </c>
      <c r="Y299" s="89" t="str">
        <f aca="false">IF(AND(X299&lt;&gt;"",X299&gt;0),IF(X299&lt;=Settings!C8,"Yes","No"),"")</f>
        <v/>
      </c>
      <c r="Z299" s="91"/>
      <c r="AA299" s="95"/>
      <c r="AB299" s="88" t="str">
        <f aca="false">IF(Z299&lt;&gt;"Closed","",IF(P299&gt;=Settings!$C$10,"OK","LOW"))</f>
        <v/>
      </c>
    </row>
    <row r="300" customFormat="false" ht="15.75" hidden="false" customHeight="true" outlineLevel="0" collapsed="false">
      <c r="B300" s="81" t="str">
        <f aca="false">IF(C300&lt;&gt;"",ROW()-11,"")</f>
        <v/>
      </c>
      <c r="C300" s="82"/>
      <c r="D300" s="82"/>
      <c r="E300" s="82"/>
      <c r="F300" s="82"/>
      <c r="G300" s="82"/>
      <c r="H300" s="83"/>
      <c r="I300" s="83"/>
      <c r="J300" s="82"/>
      <c r="K300" s="84"/>
      <c r="L300" s="84"/>
      <c r="M300" s="81" t="str">
        <f aca="false">IF(AND(L300&lt;&gt;"",Z300="Open"),L300-Settings!$C$13,"")</f>
        <v/>
      </c>
      <c r="N300" s="81" t="str">
        <f aca="false">IF(Z300&lt;&gt;"Open","",IF(L300="","",IF(L300&lt;Settings!$C$13,"OVERDUE",IF(L300&lt;=Settings!$C$13+Settings!C9,"AT RISK","OK"))))</f>
        <v/>
      </c>
      <c r="O300" s="83"/>
      <c r="P300" s="81"/>
      <c r="Q300" s="85"/>
      <c r="R300" s="85"/>
      <c r="S300" s="85"/>
      <c r="T300" s="85" t="str">
        <f aca="false">IF(AND(Q300&gt;0,R300&gt;0),Q300-R300,"")</f>
        <v/>
      </c>
      <c r="U300" s="86" t="str">
        <f aca="false">IFERROR(IF(AND(Q300&gt;0,R300&gt;0),(Q300-R300)/Q300,""),"")</f>
        <v/>
      </c>
      <c r="V300" s="82"/>
      <c r="W300" s="84"/>
      <c r="X300" s="81" t="str">
        <f aca="false">IF(AND(K300&lt;&gt;"",W300&lt;&gt;""),W300-K300,"")</f>
        <v/>
      </c>
      <c r="Y300" s="81" t="str">
        <f aca="false">IF(AND(X300&lt;&gt;"",X300&gt;0),IF(X300&lt;=Settings!C8,"Yes","No"),"")</f>
        <v/>
      </c>
      <c r="Z300" s="83"/>
      <c r="AA300" s="87"/>
      <c r="AB300" s="88" t="str">
        <f aca="false">IF(Z300&lt;&gt;"Closed","",IF(P300&gt;=Settings!$C$10,"OK","LOW"))</f>
        <v/>
      </c>
    </row>
    <row r="301" customFormat="false" ht="15.75" hidden="false" customHeight="true" outlineLevel="0" collapsed="false">
      <c r="B301" s="89" t="str">
        <f aca="false">IF(C301&lt;&gt;"",ROW()-11,"")</f>
        <v/>
      </c>
      <c r="C301" s="90"/>
      <c r="D301" s="90"/>
      <c r="E301" s="90"/>
      <c r="F301" s="90"/>
      <c r="G301" s="90"/>
      <c r="H301" s="91"/>
      <c r="I301" s="91"/>
      <c r="J301" s="90"/>
      <c r="K301" s="92"/>
      <c r="L301" s="92"/>
      <c r="M301" s="89" t="str">
        <f aca="false">IF(AND(L301&lt;&gt;"",Z301="Open"),L301-Settings!$C$13,"")</f>
        <v/>
      </c>
      <c r="N301" s="89" t="str">
        <f aca="false">IF(Z301&lt;&gt;"Open","",IF(L301="","",IF(L301&lt;Settings!$C$13,"OVERDUE",IF(L301&lt;=Settings!$C$13+Settings!C9,"AT RISK","OK"))))</f>
        <v/>
      </c>
      <c r="O301" s="91"/>
      <c r="P301" s="89"/>
      <c r="Q301" s="93"/>
      <c r="R301" s="93"/>
      <c r="S301" s="93"/>
      <c r="T301" s="93" t="str">
        <f aca="false">IF(AND(Q301&gt;0,R301&gt;0),Q301-R301,"")</f>
        <v/>
      </c>
      <c r="U301" s="94" t="str">
        <f aca="false">IFERROR(IF(AND(Q301&gt;0,R301&gt;0),(Q301-R301)/Q301,""),"")</f>
        <v/>
      </c>
      <c r="V301" s="90"/>
      <c r="W301" s="92"/>
      <c r="X301" s="89" t="str">
        <f aca="false">IF(AND(K301&lt;&gt;"",W301&lt;&gt;""),W301-K301,"")</f>
        <v/>
      </c>
      <c r="Y301" s="89" t="str">
        <f aca="false">IF(AND(X301&lt;&gt;"",X301&gt;0),IF(X301&lt;=Settings!C8,"Yes","No"),"")</f>
        <v/>
      </c>
      <c r="Z301" s="91"/>
      <c r="AA301" s="95"/>
      <c r="AB301" s="88" t="str">
        <f aca="false">IF(Z301&lt;&gt;"Closed","",IF(P301&gt;=Settings!$C$10,"OK","LOW"))</f>
        <v/>
      </c>
    </row>
    <row r="302" customFormat="false" ht="15.75" hidden="false" customHeight="true" outlineLevel="0" collapsed="false">
      <c r="B302" s="81" t="str">
        <f aca="false">IF(C302&lt;&gt;"",ROW()-11,"")</f>
        <v/>
      </c>
      <c r="C302" s="82"/>
      <c r="D302" s="82"/>
      <c r="E302" s="82"/>
      <c r="F302" s="82"/>
      <c r="G302" s="82"/>
      <c r="H302" s="83"/>
      <c r="I302" s="83"/>
      <c r="J302" s="82"/>
      <c r="K302" s="84"/>
      <c r="L302" s="84"/>
      <c r="M302" s="81" t="str">
        <f aca="false">IF(AND(L302&lt;&gt;"",Z302="Open"),L302-Settings!$C$13,"")</f>
        <v/>
      </c>
      <c r="N302" s="81" t="str">
        <f aca="false">IF(Z302&lt;&gt;"Open","",IF(L302="","",IF(L302&lt;Settings!$C$13,"OVERDUE",IF(L302&lt;=Settings!$C$13+Settings!C9,"AT RISK","OK"))))</f>
        <v/>
      </c>
      <c r="O302" s="83"/>
      <c r="P302" s="81"/>
      <c r="Q302" s="85"/>
      <c r="R302" s="85"/>
      <c r="S302" s="85"/>
      <c r="T302" s="85" t="str">
        <f aca="false">IF(AND(Q302&gt;0,R302&gt;0),Q302-R302,"")</f>
        <v/>
      </c>
      <c r="U302" s="86" t="str">
        <f aca="false">IFERROR(IF(AND(Q302&gt;0,R302&gt;0),(Q302-R302)/Q302,""),"")</f>
        <v/>
      </c>
      <c r="V302" s="82"/>
      <c r="W302" s="84"/>
      <c r="X302" s="81" t="str">
        <f aca="false">IF(AND(K302&lt;&gt;"",W302&lt;&gt;""),W302-K302,"")</f>
        <v/>
      </c>
      <c r="Y302" s="81" t="str">
        <f aca="false">IF(AND(X302&lt;&gt;"",X302&gt;0),IF(X302&lt;=Settings!C8,"Yes","No"),"")</f>
        <v/>
      </c>
      <c r="Z302" s="83"/>
      <c r="AA302" s="87"/>
      <c r="AB302" s="88" t="str">
        <f aca="false">IF(Z302&lt;&gt;"Closed","",IF(P302&gt;=Settings!$C$10,"OK","LOW"))</f>
        <v/>
      </c>
    </row>
    <row r="303" customFormat="false" ht="15.75" hidden="false" customHeight="true" outlineLevel="0" collapsed="false">
      <c r="B303" s="89" t="str">
        <f aca="false">IF(C303&lt;&gt;"",ROW()-11,"")</f>
        <v/>
      </c>
      <c r="C303" s="90"/>
      <c r="D303" s="90"/>
      <c r="E303" s="90"/>
      <c r="F303" s="90"/>
      <c r="G303" s="90"/>
      <c r="H303" s="91"/>
      <c r="I303" s="91"/>
      <c r="J303" s="90"/>
      <c r="K303" s="92"/>
      <c r="L303" s="92"/>
      <c r="M303" s="89" t="str">
        <f aca="false">IF(AND(L303&lt;&gt;"",Z303="Open"),L303-Settings!$C$13,"")</f>
        <v/>
      </c>
      <c r="N303" s="89" t="str">
        <f aca="false">IF(Z303&lt;&gt;"Open","",IF(L303="","",IF(L303&lt;Settings!$C$13,"OVERDUE",IF(L303&lt;=Settings!$C$13+Settings!C9,"AT RISK","OK"))))</f>
        <v/>
      </c>
      <c r="O303" s="91"/>
      <c r="P303" s="89"/>
      <c r="Q303" s="93"/>
      <c r="R303" s="93"/>
      <c r="S303" s="93"/>
      <c r="T303" s="93" t="str">
        <f aca="false">IF(AND(Q303&gt;0,R303&gt;0),Q303-R303,"")</f>
        <v/>
      </c>
      <c r="U303" s="94" t="str">
        <f aca="false">IFERROR(IF(AND(Q303&gt;0,R303&gt;0),(Q303-R303)/Q303,""),"")</f>
        <v/>
      </c>
      <c r="V303" s="90"/>
      <c r="W303" s="92"/>
      <c r="X303" s="89" t="str">
        <f aca="false">IF(AND(K303&lt;&gt;"",W303&lt;&gt;""),W303-K303,"")</f>
        <v/>
      </c>
      <c r="Y303" s="89" t="str">
        <f aca="false">IF(AND(X303&lt;&gt;"",X303&gt;0),IF(X303&lt;=Settings!C8,"Yes","No"),"")</f>
        <v/>
      </c>
      <c r="Z303" s="91"/>
      <c r="AA303" s="95"/>
      <c r="AB303" s="88" t="str">
        <f aca="false">IF(Z303&lt;&gt;"Closed","",IF(P303&gt;=Settings!$C$10,"OK","LOW"))</f>
        <v/>
      </c>
    </row>
    <row r="304" customFormat="false" ht="15.75" hidden="false" customHeight="true" outlineLevel="0" collapsed="false">
      <c r="B304" s="81" t="str">
        <f aca="false">IF(C304&lt;&gt;"",ROW()-11,"")</f>
        <v/>
      </c>
      <c r="C304" s="82"/>
      <c r="D304" s="82"/>
      <c r="E304" s="82"/>
      <c r="F304" s="82"/>
      <c r="G304" s="82"/>
      <c r="H304" s="83"/>
      <c r="I304" s="83"/>
      <c r="J304" s="82"/>
      <c r="K304" s="84"/>
      <c r="L304" s="84"/>
      <c r="M304" s="81" t="str">
        <f aca="false">IF(AND(L304&lt;&gt;"",Z304="Open"),L304-Settings!$C$13,"")</f>
        <v/>
      </c>
      <c r="N304" s="81" t="str">
        <f aca="false">IF(Z304&lt;&gt;"Open","",IF(L304="","",IF(L304&lt;Settings!$C$13,"OVERDUE",IF(L304&lt;=Settings!$C$13+Settings!C9,"AT RISK","OK"))))</f>
        <v/>
      </c>
      <c r="O304" s="83"/>
      <c r="P304" s="81"/>
      <c r="Q304" s="85"/>
      <c r="R304" s="85"/>
      <c r="S304" s="85"/>
      <c r="T304" s="85" t="str">
        <f aca="false">IF(AND(Q304&gt;0,R304&gt;0),Q304-R304,"")</f>
        <v/>
      </c>
      <c r="U304" s="86" t="str">
        <f aca="false">IFERROR(IF(AND(Q304&gt;0,R304&gt;0),(Q304-R304)/Q304,""),"")</f>
        <v/>
      </c>
      <c r="V304" s="82"/>
      <c r="W304" s="84"/>
      <c r="X304" s="81" t="str">
        <f aca="false">IF(AND(K304&lt;&gt;"",W304&lt;&gt;""),W304-K304,"")</f>
        <v/>
      </c>
      <c r="Y304" s="81" t="str">
        <f aca="false">IF(AND(X304&lt;&gt;"",X304&gt;0),IF(X304&lt;=Settings!C8,"Yes","No"),"")</f>
        <v/>
      </c>
      <c r="Z304" s="83"/>
      <c r="AA304" s="87"/>
      <c r="AB304" s="88" t="str">
        <f aca="false">IF(Z304&lt;&gt;"Closed","",IF(P304&gt;=Settings!$C$10,"OK","LOW"))</f>
        <v/>
      </c>
    </row>
    <row r="305" customFormat="false" ht="15.75" hidden="false" customHeight="true" outlineLevel="0" collapsed="false">
      <c r="B305" s="89" t="str">
        <f aca="false">IF(C305&lt;&gt;"",ROW()-11,"")</f>
        <v/>
      </c>
      <c r="C305" s="90"/>
      <c r="D305" s="90"/>
      <c r="E305" s="90"/>
      <c r="F305" s="90"/>
      <c r="G305" s="90"/>
      <c r="H305" s="91"/>
      <c r="I305" s="91"/>
      <c r="J305" s="90"/>
      <c r="K305" s="92"/>
      <c r="L305" s="92"/>
      <c r="M305" s="89" t="str">
        <f aca="false">IF(AND(L305&lt;&gt;"",Z305="Open"),L305-Settings!$C$13,"")</f>
        <v/>
      </c>
      <c r="N305" s="89" t="str">
        <f aca="false">IF(Z305&lt;&gt;"Open","",IF(L305="","",IF(L305&lt;Settings!$C$13,"OVERDUE",IF(L305&lt;=Settings!$C$13+Settings!C9,"AT RISK","OK"))))</f>
        <v/>
      </c>
      <c r="O305" s="91"/>
      <c r="P305" s="89"/>
      <c r="Q305" s="93"/>
      <c r="R305" s="93"/>
      <c r="S305" s="93"/>
      <c r="T305" s="93" t="str">
        <f aca="false">IF(AND(Q305&gt;0,R305&gt;0),Q305-R305,"")</f>
        <v/>
      </c>
      <c r="U305" s="94" t="str">
        <f aca="false">IFERROR(IF(AND(Q305&gt;0,R305&gt;0),(Q305-R305)/Q305,""),"")</f>
        <v/>
      </c>
      <c r="V305" s="90"/>
      <c r="W305" s="92"/>
      <c r="X305" s="89" t="str">
        <f aca="false">IF(AND(K305&lt;&gt;"",W305&lt;&gt;""),W305-K305,"")</f>
        <v/>
      </c>
      <c r="Y305" s="89" t="str">
        <f aca="false">IF(AND(X305&lt;&gt;"",X305&gt;0),IF(X305&lt;=Settings!C8,"Yes","No"),"")</f>
        <v/>
      </c>
      <c r="Z305" s="91"/>
      <c r="AA305" s="95"/>
      <c r="AB305" s="88" t="str">
        <f aca="false">IF(Z305&lt;&gt;"Closed","",IF(P305&gt;=Settings!$C$10,"OK","LOW"))</f>
        <v/>
      </c>
    </row>
    <row r="306" customFormat="false" ht="15.75" hidden="false" customHeight="true" outlineLevel="0" collapsed="false">
      <c r="B306" s="81" t="str">
        <f aca="false">IF(C306&lt;&gt;"",ROW()-11,"")</f>
        <v/>
      </c>
      <c r="C306" s="82"/>
      <c r="D306" s="82"/>
      <c r="E306" s="82"/>
      <c r="F306" s="82"/>
      <c r="G306" s="82"/>
      <c r="H306" s="83"/>
      <c r="I306" s="83"/>
      <c r="J306" s="82"/>
      <c r="K306" s="84"/>
      <c r="L306" s="84"/>
      <c r="M306" s="81" t="str">
        <f aca="false">IF(AND(L306&lt;&gt;"",Z306="Open"),L306-Settings!$C$13,"")</f>
        <v/>
      </c>
      <c r="N306" s="81" t="str">
        <f aca="false">IF(Z306&lt;&gt;"Open","",IF(L306="","",IF(L306&lt;Settings!$C$13,"OVERDUE",IF(L306&lt;=Settings!$C$13+Settings!C9,"AT RISK","OK"))))</f>
        <v/>
      </c>
      <c r="O306" s="83"/>
      <c r="P306" s="81"/>
      <c r="Q306" s="85"/>
      <c r="R306" s="85"/>
      <c r="S306" s="85"/>
      <c r="T306" s="85" t="str">
        <f aca="false">IF(AND(Q306&gt;0,R306&gt;0),Q306-R306,"")</f>
        <v/>
      </c>
      <c r="U306" s="86" t="str">
        <f aca="false">IFERROR(IF(AND(Q306&gt;0,R306&gt;0),(Q306-R306)/Q306,""),"")</f>
        <v/>
      </c>
      <c r="V306" s="82"/>
      <c r="W306" s="84"/>
      <c r="X306" s="81" t="str">
        <f aca="false">IF(AND(K306&lt;&gt;"",W306&lt;&gt;""),W306-K306,"")</f>
        <v/>
      </c>
      <c r="Y306" s="81" t="str">
        <f aca="false">IF(AND(X306&lt;&gt;"",X306&gt;0),IF(X306&lt;=Settings!C8,"Yes","No"),"")</f>
        <v/>
      </c>
      <c r="Z306" s="83"/>
      <c r="AA306" s="87"/>
      <c r="AB306" s="88" t="str">
        <f aca="false">IF(Z306&lt;&gt;"Closed","",IF(P306&gt;=Settings!$C$10,"OK","LOW"))</f>
        <v/>
      </c>
    </row>
    <row r="307" customFormat="false" ht="15.75" hidden="false" customHeight="true" outlineLevel="0" collapsed="false">
      <c r="B307" s="89" t="str">
        <f aca="false">IF(C307&lt;&gt;"",ROW()-11,"")</f>
        <v/>
      </c>
      <c r="C307" s="90"/>
      <c r="D307" s="90"/>
      <c r="E307" s="90"/>
      <c r="F307" s="90"/>
      <c r="G307" s="90"/>
      <c r="H307" s="91"/>
      <c r="I307" s="91"/>
      <c r="J307" s="90"/>
      <c r="K307" s="92"/>
      <c r="L307" s="92"/>
      <c r="M307" s="89" t="str">
        <f aca="false">IF(AND(L307&lt;&gt;"",Z307="Open"),L307-Settings!$C$13,"")</f>
        <v/>
      </c>
      <c r="N307" s="89" t="str">
        <f aca="false">IF(Z307&lt;&gt;"Open","",IF(L307="","",IF(L307&lt;Settings!$C$13,"OVERDUE",IF(L307&lt;=Settings!$C$13+Settings!C9,"AT RISK","OK"))))</f>
        <v/>
      </c>
      <c r="O307" s="91"/>
      <c r="P307" s="89"/>
      <c r="Q307" s="93"/>
      <c r="R307" s="93"/>
      <c r="S307" s="93"/>
      <c r="T307" s="93" t="str">
        <f aca="false">IF(AND(Q307&gt;0,R307&gt;0),Q307-R307,"")</f>
        <v/>
      </c>
      <c r="U307" s="94" t="str">
        <f aca="false">IFERROR(IF(AND(Q307&gt;0,R307&gt;0),(Q307-R307)/Q307,""),"")</f>
        <v/>
      </c>
      <c r="V307" s="90"/>
      <c r="W307" s="92"/>
      <c r="X307" s="89" t="str">
        <f aca="false">IF(AND(K307&lt;&gt;"",W307&lt;&gt;""),W307-K307,"")</f>
        <v/>
      </c>
      <c r="Y307" s="89" t="str">
        <f aca="false">IF(AND(X307&lt;&gt;"",X307&gt;0),IF(X307&lt;=Settings!C8,"Yes","No"),"")</f>
        <v/>
      </c>
      <c r="Z307" s="91"/>
      <c r="AA307" s="95"/>
      <c r="AB307" s="88" t="str">
        <f aca="false">IF(Z307&lt;&gt;"Closed","",IF(P307&gt;=Settings!$C$10,"OK","LOW"))</f>
        <v/>
      </c>
    </row>
    <row r="308" customFormat="false" ht="15.75" hidden="false" customHeight="true" outlineLevel="0" collapsed="false">
      <c r="B308" s="81" t="str">
        <f aca="false">IF(C308&lt;&gt;"",ROW()-11,"")</f>
        <v/>
      </c>
      <c r="C308" s="82"/>
      <c r="D308" s="82"/>
      <c r="E308" s="82"/>
      <c r="F308" s="82"/>
      <c r="G308" s="82"/>
      <c r="H308" s="83"/>
      <c r="I308" s="83"/>
      <c r="J308" s="82"/>
      <c r="K308" s="84"/>
      <c r="L308" s="84"/>
      <c r="M308" s="81" t="str">
        <f aca="false">IF(AND(L308&lt;&gt;"",Z308="Open"),L308-Settings!$C$13,"")</f>
        <v/>
      </c>
      <c r="N308" s="81" t="str">
        <f aca="false">IF(Z308&lt;&gt;"Open","",IF(L308="","",IF(L308&lt;Settings!$C$13,"OVERDUE",IF(L308&lt;=Settings!$C$13+Settings!C9,"AT RISK","OK"))))</f>
        <v/>
      </c>
      <c r="O308" s="83"/>
      <c r="P308" s="81"/>
      <c r="Q308" s="85"/>
      <c r="R308" s="85"/>
      <c r="S308" s="85"/>
      <c r="T308" s="85" t="str">
        <f aca="false">IF(AND(Q308&gt;0,R308&gt;0),Q308-R308,"")</f>
        <v/>
      </c>
      <c r="U308" s="86" t="str">
        <f aca="false">IFERROR(IF(AND(Q308&gt;0,R308&gt;0),(Q308-R308)/Q308,""),"")</f>
        <v/>
      </c>
      <c r="V308" s="82"/>
      <c r="W308" s="84"/>
      <c r="X308" s="81" t="str">
        <f aca="false">IF(AND(K308&lt;&gt;"",W308&lt;&gt;""),W308-K308,"")</f>
        <v/>
      </c>
      <c r="Y308" s="81" t="str">
        <f aca="false">IF(AND(X308&lt;&gt;"",X308&gt;0),IF(X308&lt;=Settings!C8,"Yes","No"),"")</f>
        <v/>
      </c>
      <c r="Z308" s="83"/>
      <c r="AA308" s="87"/>
      <c r="AB308" s="88" t="str">
        <f aca="false">IF(Z308&lt;&gt;"Closed","",IF(P308&gt;=Settings!$C$10,"OK","LOW"))</f>
        <v/>
      </c>
    </row>
    <row r="309" customFormat="false" ht="15.75" hidden="false" customHeight="true" outlineLevel="0" collapsed="false">
      <c r="B309" s="89" t="str">
        <f aca="false">IF(C309&lt;&gt;"",ROW()-11,"")</f>
        <v/>
      </c>
      <c r="C309" s="90"/>
      <c r="D309" s="90"/>
      <c r="E309" s="90"/>
      <c r="F309" s="90"/>
      <c r="G309" s="90"/>
      <c r="H309" s="91"/>
      <c r="I309" s="91"/>
      <c r="J309" s="90"/>
      <c r="K309" s="92"/>
      <c r="L309" s="92"/>
      <c r="M309" s="89" t="str">
        <f aca="false">IF(AND(L309&lt;&gt;"",Z309="Open"),L309-Settings!$C$13,"")</f>
        <v/>
      </c>
      <c r="N309" s="89" t="str">
        <f aca="false">IF(Z309&lt;&gt;"Open","",IF(L309="","",IF(L309&lt;Settings!$C$13,"OVERDUE",IF(L309&lt;=Settings!$C$13+Settings!C9,"AT RISK","OK"))))</f>
        <v/>
      </c>
      <c r="O309" s="91"/>
      <c r="P309" s="89"/>
      <c r="Q309" s="93"/>
      <c r="R309" s="93"/>
      <c r="S309" s="93"/>
      <c r="T309" s="93" t="str">
        <f aca="false">IF(AND(Q309&gt;0,R309&gt;0),Q309-R309,"")</f>
        <v/>
      </c>
      <c r="U309" s="94" t="str">
        <f aca="false">IFERROR(IF(AND(Q309&gt;0,R309&gt;0),(Q309-R309)/Q309,""),"")</f>
        <v/>
      </c>
      <c r="V309" s="90"/>
      <c r="W309" s="92"/>
      <c r="X309" s="89" t="str">
        <f aca="false">IF(AND(K309&lt;&gt;"",W309&lt;&gt;""),W309-K309,"")</f>
        <v/>
      </c>
      <c r="Y309" s="89" t="str">
        <f aca="false">IF(AND(X309&lt;&gt;"",X309&gt;0),IF(X309&lt;=Settings!C8,"Yes","No"),"")</f>
        <v/>
      </c>
      <c r="Z309" s="91"/>
      <c r="AA309" s="95"/>
      <c r="AB309" s="88" t="str">
        <f aca="false">IF(Z309&lt;&gt;"Closed","",IF(P309&gt;=Settings!$C$10,"OK","LOW"))</f>
        <v/>
      </c>
    </row>
    <row r="310" customFormat="false" ht="15.75" hidden="false" customHeight="true" outlineLevel="0" collapsed="false">
      <c r="B310" s="81" t="str">
        <f aca="false">IF(C310&lt;&gt;"",ROW()-11,"")</f>
        <v/>
      </c>
      <c r="C310" s="82"/>
      <c r="D310" s="82"/>
      <c r="E310" s="82"/>
      <c r="F310" s="82"/>
      <c r="G310" s="82"/>
      <c r="H310" s="83"/>
      <c r="I310" s="83"/>
      <c r="J310" s="82"/>
      <c r="K310" s="84"/>
      <c r="L310" s="84"/>
      <c r="M310" s="81" t="str">
        <f aca="false">IF(AND(L310&lt;&gt;"",Z310="Open"),L310-Settings!$C$13,"")</f>
        <v/>
      </c>
      <c r="N310" s="81" t="str">
        <f aca="false">IF(Z310&lt;&gt;"Open","",IF(L310="","",IF(L310&lt;Settings!$C$13,"OVERDUE",IF(L310&lt;=Settings!$C$13+Settings!C9,"AT RISK","OK"))))</f>
        <v/>
      </c>
      <c r="O310" s="83"/>
      <c r="P310" s="81"/>
      <c r="Q310" s="85"/>
      <c r="R310" s="85"/>
      <c r="S310" s="85"/>
      <c r="T310" s="85" t="str">
        <f aca="false">IF(AND(Q310&gt;0,R310&gt;0),Q310-R310,"")</f>
        <v/>
      </c>
      <c r="U310" s="86" t="str">
        <f aca="false">IFERROR(IF(AND(Q310&gt;0,R310&gt;0),(Q310-R310)/Q310,""),"")</f>
        <v/>
      </c>
      <c r="V310" s="82"/>
      <c r="W310" s="84"/>
      <c r="X310" s="81" t="str">
        <f aca="false">IF(AND(K310&lt;&gt;"",W310&lt;&gt;""),W310-K310,"")</f>
        <v/>
      </c>
      <c r="Y310" s="81" t="str">
        <f aca="false">IF(AND(X310&lt;&gt;"",X310&gt;0),IF(X310&lt;=Settings!C8,"Yes","No"),"")</f>
        <v/>
      </c>
      <c r="Z310" s="83"/>
      <c r="AA310" s="87"/>
      <c r="AB310" s="88" t="str">
        <f aca="false">IF(Z310&lt;&gt;"Closed","",IF(P310&gt;=Settings!$C$10,"OK","LOW"))</f>
        <v/>
      </c>
    </row>
    <row r="311" customFormat="false" ht="15.75" hidden="false" customHeight="true" outlineLevel="0" collapsed="false">
      <c r="B311" s="89" t="str">
        <f aca="false">IF(C311&lt;&gt;"",ROW()-11,"")</f>
        <v/>
      </c>
      <c r="C311" s="90"/>
      <c r="D311" s="90"/>
      <c r="E311" s="90"/>
      <c r="F311" s="90"/>
      <c r="G311" s="90"/>
      <c r="H311" s="91"/>
      <c r="I311" s="91"/>
      <c r="J311" s="90"/>
      <c r="K311" s="92"/>
      <c r="L311" s="92"/>
      <c r="M311" s="89" t="str">
        <f aca="false">IF(AND(L311&lt;&gt;"",Z311="Open"),L311-Settings!$C$13,"")</f>
        <v/>
      </c>
      <c r="N311" s="89" t="str">
        <f aca="false">IF(Z311&lt;&gt;"Open","",IF(L311="","",IF(L311&lt;Settings!$C$13,"OVERDUE",IF(L311&lt;=Settings!$C$13+Settings!C9,"AT RISK","OK"))))</f>
        <v/>
      </c>
      <c r="O311" s="91"/>
      <c r="P311" s="89"/>
      <c r="Q311" s="93"/>
      <c r="R311" s="93"/>
      <c r="S311" s="93"/>
      <c r="T311" s="93" t="str">
        <f aca="false">IF(AND(Q311&gt;0,R311&gt;0),Q311-R311,"")</f>
        <v/>
      </c>
      <c r="U311" s="94" t="str">
        <f aca="false">IFERROR(IF(AND(Q311&gt;0,R311&gt;0),(Q311-R311)/Q311,""),"")</f>
        <v/>
      </c>
      <c r="V311" s="90"/>
      <c r="W311" s="92"/>
      <c r="X311" s="89" t="str">
        <f aca="false">IF(AND(K311&lt;&gt;"",W311&lt;&gt;""),W311-K311,"")</f>
        <v/>
      </c>
      <c r="Y311" s="89" t="str">
        <f aca="false">IF(AND(X311&lt;&gt;"",X311&gt;0),IF(X311&lt;=Settings!C8,"Yes","No"),"")</f>
        <v/>
      </c>
      <c r="Z311" s="91"/>
      <c r="AA311" s="95"/>
      <c r="AB311" s="88" t="str">
        <f aca="false">IF(Z311&lt;&gt;"Closed","",IF(P311&gt;=Settings!$C$10,"OK","LOW"))</f>
        <v/>
      </c>
    </row>
    <row r="312" customFormat="false" ht="15" hidden="false" customHeight="true" outlineLevel="0" collapsed="false">
      <c r="M312" s="1" t="str">
        <f aca="false">IF(AND(L312&lt;&gt;"",Z312="Open"),L312-Settings!$C$13,"")</f>
        <v/>
      </c>
      <c r="N312" s="1" t="str">
        <f aca="false">IF(Z312&lt;&gt;"Open","",IF(L312="","",IF(L312&lt;Settings!$C$13,"OVERDUE",IF(L312&lt;=Settings!$C$13+Settings!C9,"AT RISK","OK"))))</f>
        <v/>
      </c>
      <c r="AB312" s="88" t="str">
        <f aca="false">IF(Z312&lt;&gt;"Closed","",IF(P312&gt;=Settings!$C$10,"OK","LOW"))</f>
        <v/>
      </c>
    </row>
    <row r="313" customFormat="false" ht="15" hidden="false" customHeight="true" outlineLevel="0" collapsed="false">
      <c r="M313" s="1" t="str">
        <f aca="false">IF(AND(L313&lt;&gt;"",Z313="Open"),L313-Settings!$C$13,"")</f>
        <v/>
      </c>
      <c r="N313" s="1" t="str">
        <f aca="false">IF(Z313&lt;&gt;"Open","",IF(L313="","",IF(L313&lt;Settings!$C$13,"OVERDUE",IF(L313&lt;=Settings!$C$13+Settings!C9,"AT RISK","OK"))))</f>
        <v/>
      </c>
      <c r="AB313" s="88" t="str">
        <f aca="false">IF(Z313&lt;&gt;"Closed","",IF(P313&gt;=Settings!$C$10,"OK","LOW"))</f>
        <v/>
      </c>
    </row>
    <row r="314" customFormat="false" ht="15" hidden="false" customHeight="true" outlineLevel="0" collapsed="false">
      <c r="B314" s="96" t="s">
        <v>383</v>
      </c>
      <c r="C314" s="96"/>
      <c r="D314" s="96"/>
      <c r="E314" s="96"/>
      <c r="F314" s="96"/>
      <c r="G314" s="96"/>
      <c r="H314" s="96"/>
      <c r="I314" s="96"/>
      <c r="J314" s="96"/>
      <c r="K314" s="96"/>
      <c r="L314" s="96"/>
      <c r="M314" s="96"/>
      <c r="N314" s="96"/>
      <c r="O314" s="96"/>
      <c r="P314" s="96"/>
      <c r="Q314" s="96"/>
      <c r="R314" s="96"/>
      <c r="S314" s="96"/>
      <c r="T314" s="96"/>
      <c r="U314" s="96"/>
      <c r="V314" s="96"/>
      <c r="W314" s="96"/>
      <c r="X314" s="96"/>
      <c r="Y314" s="96"/>
      <c r="Z314" s="96"/>
      <c r="AA314" s="96"/>
      <c r="AB314" s="88" t="str">
        <f aca="false">IF(Z314&lt;&gt;"Closed","",IF(P314&gt;=Settings!$C$10,"OK","LOW"))</f>
        <v/>
      </c>
    </row>
    <row r="315" customFormat="false" ht="15.75" hidden="false" customHeight="true" outlineLevel="0" collapsed="false">
      <c r="B315" s="97" t="s">
        <v>384</v>
      </c>
      <c r="C315" s="97"/>
      <c r="D315" s="97"/>
      <c r="E315" s="97"/>
      <c r="F315" s="97"/>
      <c r="G315" s="97"/>
      <c r="H315" s="97"/>
      <c r="I315" s="97"/>
      <c r="J315" s="97"/>
      <c r="K315" s="97"/>
      <c r="L315" s="97"/>
      <c r="M315" s="97"/>
      <c r="N315" s="97"/>
      <c r="O315" s="97"/>
      <c r="P315" s="97"/>
      <c r="Q315" s="97"/>
      <c r="R315" s="97"/>
      <c r="S315" s="97"/>
      <c r="T315" s="97"/>
      <c r="U315" s="97"/>
      <c r="V315" s="97"/>
      <c r="W315" s="97"/>
      <c r="X315" s="97"/>
      <c r="Y315" s="97"/>
      <c r="Z315" s="97"/>
      <c r="AA315" s="97"/>
      <c r="AB315" s="88" t="str">
        <f aca="false">IF(Z315&lt;&gt;"Closed","",IF(P315&gt;=Settings!$C$10,"OK","LOW"))</f>
        <v/>
      </c>
    </row>
    <row r="316" customFormat="false" ht="15.75" hidden="false" customHeight="true" outlineLevel="0" collapsed="false">
      <c r="B316" s="98" t="s">
        <v>385</v>
      </c>
      <c r="C316" s="98"/>
      <c r="D316" s="98"/>
      <c r="E316" s="98"/>
      <c r="F316" s="98"/>
      <c r="G316" s="98"/>
      <c r="H316" s="98"/>
      <c r="I316" s="98"/>
      <c r="J316" s="98"/>
      <c r="K316" s="98"/>
      <c r="L316" s="98"/>
      <c r="M316" s="98"/>
      <c r="N316" s="98"/>
      <c r="O316" s="98"/>
      <c r="P316" s="98"/>
      <c r="Q316" s="98"/>
      <c r="R316" s="98"/>
      <c r="S316" s="98"/>
      <c r="T316" s="98"/>
      <c r="U316" s="98"/>
      <c r="V316" s="98"/>
      <c r="W316" s="98"/>
      <c r="X316" s="98"/>
      <c r="Y316" s="98"/>
      <c r="Z316" s="98"/>
      <c r="AA316" s="98"/>
      <c r="AB316" s="88" t="str">
        <f aca="false">IF(Z316&lt;&gt;"Closed","",IF(P316&gt;=Settings!$C$10,"OK","LOW"))</f>
        <v/>
      </c>
    </row>
    <row r="317" customFormat="false" ht="15.75" hidden="false" customHeight="true" outlineLevel="0" collapsed="false">
      <c r="B317" s="99" t="s">
        <v>386</v>
      </c>
      <c r="C317" s="99"/>
      <c r="D317" s="99"/>
      <c r="E317" s="99"/>
      <c r="F317" s="99"/>
      <c r="G317" s="99"/>
      <c r="H317" s="99"/>
      <c r="I317" s="99"/>
      <c r="J317" s="99"/>
      <c r="K317" s="99"/>
      <c r="L317" s="99"/>
      <c r="M317" s="99"/>
      <c r="N317" s="99"/>
      <c r="O317" s="99"/>
      <c r="P317" s="99"/>
      <c r="Q317" s="99"/>
      <c r="R317" s="99"/>
      <c r="S317" s="99"/>
      <c r="T317" s="99"/>
      <c r="U317" s="99"/>
      <c r="V317" s="99"/>
      <c r="W317" s="99"/>
      <c r="X317" s="99"/>
      <c r="Y317" s="99"/>
      <c r="Z317" s="99"/>
      <c r="AA317" s="99"/>
      <c r="AB317" s="88" t="str">
        <f aca="false">IF(Z317&lt;&gt;"Closed","",IF(P317&gt;=Settings!$C$10,"OK","LOW"))</f>
        <v/>
      </c>
    </row>
    <row r="318" customFormat="false" ht="15.75" hidden="false" customHeight="true" outlineLevel="0" collapsed="false">
      <c r="B318" s="100" t="s">
        <v>387</v>
      </c>
      <c r="C318" s="100"/>
      <c r="D318" s="100"/>
      <c r="E318" s="100"/>
      <c r="F318" s="100"/>
      <c r="G318" s="100"/>
      <c r="H318" s="100"/>
      <c r="I318" s="100"/>
      <c r="J318" s="100"/>
      <c r="K318" s="100"/>
      <c r="L318" s="100"/>
      <c r="M318" s="100"/>
      <c r="N318" s="100"/>
      <c r="O318" s="100"/>
      <c r="P318" s="100"/>
      <c r="Q318" s="100"/>
      <c r="R318" s="100"/>
      <c r="S318" s="100"/>
      <c r="T318" s="100"/>
      <c r="U318" s="100"/>
      <c r="V318" s="100"/>
      <c r="W318" s="100"/>
      <c r="X318" s="100"/>
      <c r="Y318" s="100"/>
      <c r="Z318" s="100"/>
      <c r="AA318" s="100"/>
      <c r="AB318" s="88" t="str">
        <f aca="false">IF(Z318&lt;&gt;"Closed","",IF(P318&gt;=Settings!$C$10,"OK","LOW"))</f>
        <v/>
      </c>
    </row>
    <row r="319" customFormat="false" ht="15.75" hidden="false" customHeight="true" outlineLevel="0" collapsed="false">
      <c r="B319" s="101" t="s">
        <v>388</v>
      </c>
      <c r="C319" s="101"/>
      <c r="D319" s="101"/>
      <c r="E319" s="101"/>
      <c r="F319" s="101"/>
      <c r="G319" s="101"/>
      <c r="H319" s="101"/>
      <c r="I319" s="101"/>
      <c r="J319" s="101"/>
      <c r="K319" s="101"/>
      <c r="L319" s="101"/>
      <c r="M319" s="101"/>
      <c r="N319" s="101"/>
      <c r="O319" s="101"/>
      <c r="P319" s="101"/>
      <c r="Q319" s="101"/>
      <c r="R319" s="101"/>
      <c r="S319" s="101"/>
      <c r="T319" s="101"/>
      <c r="U319" s="101"/>
      <c r="V319" s="101"/>
      <c r="W319" s="101"/>
      <c r="X319" s="101"/>
      <c r="Y319" s="101"/>
      <c r="Z319" s="101"/>
      <c r="AA319" s="101"/>
      <c r="AB319" s="88" t="str">
        <f aca="false">IF(Z319&lt;&gt;"Closed","",IF(P319&gt;=Settings!$C$10,"OK","LOW"))</f>
        <v/>
      </c>
    </row>
    <row r="320" customFormat="false" ht="15" hidden="false" customHeight="true" outlineLevel="0" collapsed="false">
      <c r="M320" s="1" t="str">
        <f aca="false">IF(AND(L320&lt;&gt;"",Z320="Open"),L320-Settings!$C$13,"")</f>
        <v/>
      </c>
      <c r="N320" s="1" t="str">
        <f aca="false">IF(Z320&lt;&gt;"Open","",IF(L320="","",IF(L320&lt;Settings!$C$13,"OVERDUE",IF(L320&lt;=Settings!$C$13+Settings!C9,"AT RISK","OK"))))</f>
        <v/>
      </c>
      <c r="AB320" s="88" t="str">
        <f aca="false">IF(Z320&lt;&gt;"Closed","",IF(P320&gt;=Settings!$C$10,"OK","LOW"))</f>
        <v/>
      </c>
    </row>
    <row r="321" customFormat="false" ht="15" hidden="false" customHeight="true" outlineLevel="0" collapsed="false">
      <c r="M321" s="1" t="str">
        <f aca="false">IF(AND(L321&lt;&gt;"",Z321="Open"),L321-Settings!$C$13,"")</f>
        <v/>
      </c>
      <c r="N321" s="1" t="str">
        <f aca="false">IF(Z321&lt;&gt;"Open","",IF(L321="","",IF(L321&lt;Settings!$C$13,"OVERDUE",IF(L321&lt;=Settings!$C$13+Settings!C9,"AT RISK","OK"))))</f>
        <v/>
      </c>
      <c r="AB321" s="88" t="str">
        <f aca="false">IF(Z321&lt;&gt;"Closed","",IF(P321&gt;=Settings!$C$10,"OK","LOW"))</f>
        <v/>
      </c>
    </row>
    <row r="322" customFormat="false" ht="15" hidden="false" customHeight="true" outlineLevel="0" collapsed="false">
      <c r="M322" s="1" t="str">
        <f aca="false">IF(AND(L322&lt;&gt;"",Z322="Open"),L322-Settings!$C$13,"")</f>
        <v/>
      </c>
      <c r="N322" s="1" t="str">
        <f aca="false">IF(Z322&lt;&gt;"Open","",IF(L322="","",IF(L322&lt;Settings!$C$13,"OVERDUE",IF(L322&lt;=Settings!$C$13+Settings!C9,"AT RISK","OK"))))</f>
        <v/>
      </c>
      <c r="AB322" s="88" t="str">
        <f aca="false">IF(Z322&lt;&gt;"Closed","",IF(P322&gt;=Settings!$C$10,"OK","LOW"))</f>
        <v/>
      </c>
    </row>
    <row r="323" customFormat="false" ht="15" hidden="false" customHeight="true" outlineLevel="0" collapsed="false">
      <c r="M323" s="1" t="str">
        <f aca="false">IF(AND(L323&lt;&gt;"",Z323="Open"),L323-Settings!$C$13,"")</f>
        <v/>
      </c>
      <c r="N323" s="1" t="str">
        <f aca="false">IF(Z323&lt;&gt;"Open","",IF(L323="","",IF(L323&lt;Settings!$C$13,"OVERDUE",IF(L323&lt;=Settings!$C$13+Settings!C9,"AT RISK","OK"))))</f>
        <v/>
      </c>
      <c r="AB323" s="88" t="str">
        <f aca="false">IF(Z323&lt;&gt;"Closed","",IF(P323&gt;=Settings!$C$10,"OK","LOW"))</f>
        <v/>
      </c>
    </row>
    <row r="324" customFormat="false" ht="15" hidden="false" customHeight="true" outlineLevel="0" collapsed="false">
      <c r="M324" s="1" t="str">
        <f aca="false">IF(AND(L324&lt;&gt;"",Z324="Open"),L324-Settings!$C$13,"")</f>
        <v/>
      </c>
      <c r="N324" s="1" t="str">
        <f aca="false">IF(Z324&lt;&gt;"Open","",IF(L324="","",IF(L324&lt;Settings!$C$13,"OVERDUE",IF(L324&lt;=Settings!$C$13+Settings!C9,"AT RISK","OK"))))</f>
        <v/>
      </c>
      <c r="AB324" s="88" t="str">
        <f aca="false">IF(Z324&lt;&gt;"Closed","",IF(P324&gt;=Settings!$C$10,"OK","LOW"))</f>
        <v/>
      </c>
    </row>
    <row r="325" customFormat="false" ht="15" hidden="false" customHeight="true" outlineLevel="0" collapsed="false">
      <c r="M325" s="1" t="str">
        <f aca="false">IF(AND(L325&lt;&gt;"",Z325="Open"),L325-Settings!$C$13,"")</f>
        <v/>
      </c>
      <c r="N325" s="1" t="str">
        <f aca="false">IF(Z325&lt;&gt;"Open","",IF(L325="","",IF(L325&lt;Settings!$C$13,"OVERDUE",IF(L325&lt;=Settings!$C$13+Settings!C9,"AT RISK","OK"))))</f>
        <v/>
      </c>
      <c r="AB325" s="88" t="str">
        <f aca="false">IF(Z325&lt;&gt;"Closed","",IF(P325&gt;=Settings!$C$10,"OK","LOW"))</f>
        <v/>
      </c>
    </row>
    <row r="326" customFormat="false" ht="15" hidden="false" customHeight="true" outlineLevel="0" collapsed="false">
      <c r="M326" s="1" t="str">
        <f aca="false">IF(AND(L326&lt;&gt;"",Z326="Open"),L326-Settings!$C$13,"")</f>
        <v/>
      </c>
      <c r="N326" s="1" t="str">
        <f aca="false">IF(Z326&lt;&gt;"Open","",IF(L326="","",IF(L326&lt;Settings!$C$13,"OVERDUE",IF(L326&lt;=Settings!$C$13+Settings!C9,"AT RISK","OK"))))</f>
        <v/>
      </c>
      <c r="AB326" s="88" t="str">
        <f aca="false">IF(Z326&lt;&gt;"Closed","",IF(P326&gt;=Settings!$C$10,"OK","LOW"))</f>
        <v/>
      </c>
    </row>
    <row r="327" customFormat="false" ht="15" hidden="false" customHeight="true" outlineLevel="0" collapsed="false">
      <c r="M327" s="1" t="str">
        <f aca="false">IF(AND(L327&lt;&gt;"",Z327="Open"),L327-Settings!$C$13,"")</f>
        <v/>
      </c>
      <c r="N327" s="1" t="str">
        <f aca="false">IF(Z327&lt;&gt;"Open","",IF(L327="","",IF(L327&lt;Settings!$C$13,"OVERDUE",IF(L327&lt;=Settings!$C$13+Settings!C9,"AT RISK","OK"))))</f>
        <v/>
      </c>
      <c r="AB327" s="88" t="str">
        <f aca="false">IF(Z327&lt;&gt;"Closed","",IF(P327&gt;=Settings!$C$10,"OK","LOW"))</f>
        <v/>
      </c>
    </row>
    <row r="328" customFormat="false" ht="15" hidden="false" customHeight="true" outlineLevel="0" collapsed="false">
      <c r="M328" s="1" t="str">
        <f aca="false">IF(AND(L328&lt;&gt;"",Z328="Open"),L328-Settings!$C$13,"")</f>
        <v/>
      </c>
      <c r="N328" s="1" t="str">
        <f aca="false">IF(Z328&lt;&gt;"Open","",IF(L328="","",IF(L328&lt;Settings!$C$13,"OVERDUE",IF(L328&lt;=Settings!$C$13+Settings!C9,"AT RISK","OK"))))</f>
        <v/>
      </c>
      <c r="AB328" s="88" t="str">
        <f aca="false">IF(Z328&lt;&gt;"Closed","",IF(P328&gt;=Settings!$C$10,"OK","LOW"))</f>
        <v/>
      </c>
    </row>
    <row r="329" customFormat="false" ht="15" hidden="false" customHeight="true" outlineLevel="0" collapsed="false">
      <c r="M329" s="1" t="str">
        <f aca="false">IF(AND(L329&lt;&gt;"",Z329="Open"),L329-Settings!$C$13,"")</f>
        <v/>
      </c>
      <c r="N329" s="1" t="str">
        <f aca="false">IF(Z329&lt;&gt;"Open","",IF(L329="","",IF(L329&lt;Settings!$C$13,"OVERDUE",IF(L329&lt;=Settings!$C$13+Settings!C9,"AT RISK","OK"))))</f>
        <v/>
      </c>
      <c r="AB329" s="88" t="str">
        <f aca="false">IF(Z329&lt;&gt;"Closed","",IF(P329&gt;=Settings!$C$10,"OK","LOW"))</f>
        <v/>
      </c>
    </row>
    <row r="330" customFormat="false" ht="15" hidden="false" customHeight="true" outlineLevel="0" collapsed="false">
      <c r="M330" s="1" t="str">
        <f aca="false">IF(AND(L330&lt;&gt;"",Z330="Open"),L330-Settings!$C$13,"")</f>
        <v/>
      </c>
      <c r="N330" s="1" t="str">
        <f aca="false">IF(Z330&lt;&gt;"Open","",IF(L330="","",IF(L330&lt;Settings!$C$13,"OVERDUE",IF(L330&lt;=Settings!$C$13+Settings!C9,"AT RISK","OK"))))</f>
        <v/>
      </c>
      <c r="AB330" s="88" t="str">
        <f aca="false">IF(Z330&lt;&gt;"Closed","",IF(P330&gt;=Settings!$C$10,"OK","LOW"))</f>
        <v/>
      </c>
    </row>
    <row r="331" customFormat="false" ht="15" hidden="false" customHeight="true" outlineLevel="0" collapsed="false">
      <c r="M331" s="1" t="str">
        <f aca="false">IF(AND(L331&lt;&gt;"",Z331="Open"),L331-Settings!$C$13,"")</f>
        <v/>
      </c>
      <c r="N331" s="1" t="str">
        <f aca="false">IF(Z331&lt;&gt;"Open","",IF(L331="","",IF(L331&lt;Settings!$C$13,"OVERDUE",IF(L331&lt;=Settings!$C$13+Settings!C9,"AT RISK","OK"))))</f>
        <v/>
      </c>
      <c r="AB331" s="88" t="str">
        <f aca="false">IF(Z331&lt;&gt;"Closed","",IF(P331&gt;=Settings!$C$10,"OK","LOW"))</f>
        <v/>
      </c>
    </row>
    <row r="332" customFormat="false" ht="15" hidden="false" customHeight="true" outlineLevel="0" collapsed="false">
      <c r="M332" s="1" t="str">
        <f aca="false">IF(AND(L332&lt;&gt;"",Z332="Open"),L332-Settings!$C$13,"")</f>
        <v/>
      </c>
      <c r="N332" s="1" t="str">
        <f aca="false">IF(Z332&lt;&gt;"Open","",IF(L332="","",IF(L332&lt;Settings!$C$13,"OVERDUE",IF(L332&lt;=Settings!$C$13+Settings!C9,"AT RISK","OK"))))</f>
        <v/>
      </c>
      <c r="AB332" s="88" t="str">
        <f aca="false">IF(Z332&lt;&gt;"Closed","",IF(P332&gt;=Settings!$C$10,"OK","LOW"))</f>
        <v/>
      </c>
    </row>
    <row r="333" customFormat="false" ht="15" hidden="false" customHeight="true" outlineLevel="0" collapsed="false">
      <c r="M333" s="1" t="str">
        <f aca="false">IF(AND(L333&lt;&gt;"",Z333="Open"),L333-Settings!$C$13,"")</f>
        <v/>
      </c>
      <c r="N333" s="1" t="str">
        <f aca="false">IF(Z333&lt;&gt;"Open","",IF(L333="","",IF(L333&lt;Settings!$C$13,"OVERDUE",IF(L333&lt;=Settings!$C$13+Settings!C9,"AT RISK","OK"))))</f>
        <v/>
      </c>
      <c r="AB333" s="88" t="str">
        <f aca="false">IF(Z333&lt;&gt;"Closed","",IF(P333&gt;=Settings!$C$10,"OK","LOW"))</f>
        <v/>
      </c>
    </row>
    <row r="334" customFormat="false" ht="15" hidden="false" customHeight="true" outlineLevel="0" collapsed="false">
      <c r="M334" s="1" t="str">
        <f aca="false">IF(AND(L334&lt;&gt;"",Z334="Open"),L334-Settings!$C$13,"")</f>
        <v/>
      </c>
      <c r="N334" s="1" t="str">
        <f aca="false">IF(Z334&lt;&gt;"Open","",IF(L334="","",IF(L334&lt;Settings!$C$13,"OVERDUE",IF(L334&lt;=Settings!$C$13+Settings!C9,"AT RISK","OK"))))</f>
        <v/>
      </c>
      <c r="AB334" s="88" t="str">
        <f aca="false">IF(Z334&lt;&gt;"Closed","",IF(P334&gt;=Settings!$C$10,"OK","LOW"))</f>
        <v/>
      </c>
    </row>
    <row r="335" customFormat="false" ht="15" hidden="false" customHeight="true" outlineLevel="0" collapsed="false">
      <c r="M335" s="1" t="str">
        <f aca="false">IF(AND(L335&lt;&gt;"",Z335="Open"),L335-Settings!$C$13,"")</f>
        <v/>
      </c>
      <c r="N335" s="1" t="str">
        <f aca="false">IF(Z335&lt;&gt;"Open","",IF(L335="","",IF(L335&lt;Settings!$C$13,"OVERDUE",IF(L335&lt;=Settings!$C$13+Settings!C9,"AT RISK","OK"))))</f>
        <v/>
      </c>
      <c r="AB335" s="88" t="str">
        <f aca="false">IF(Z335&lt;&gt;"Closed","",IF(P335&gt;=Settings!$C$10,"OK","LOW"))</f>
        <v/>
      </c>
    </row>
    <row r="336" customFormat="false" ht="15" hidden="false" customHeight="true" outlineLevel="0" collapsed="false">
      <c r="M336" s="1" t="str">
        <f aca="false">IF(AND(L336&lt;&gt;"",Z336="Open"),L336-Settings!$C$13,"")</f>
        <v/>
      </c>
      <c r="N336" s="1" t="str">
        <f aca="false">IF(Z336&lt;&gt;"Open","",IF(L336="","",IF(L336&lt;Settings!$C$13,"OVERDUE",IF(L336&lt;=Settings!$C$13+Settings!C9,"AT RISK","OK"))))</f>
        <v/>
      </c>
      <c r="AB336" s="88" t="str">
        <f aca="false">IF(Z336&lt;&gt;"Closed","",IF(P336&gt;=Settings!$C$10,"OK","LOW"))</f>
        <v/>
      </c>
    </row>
    <row r="337" customFormat="false" ht="15" hidden="false" customHeight="true" outlineLevel="0" collapsed="false">
      <c r="M337" s="1" t="str">
        <f aca="false">IF(AND(L337&lt;&gt;"",Z337="Open"),L337-Settings!$C$13,"")</f>
        <v/>
      </c>
      <c r="N337" s="1" t="str">
        <f aca="false">IF(Z337&lt;&gt;"Open","",IF(L337="","",IF(L337&lt;Settings!$C$13,"OVERDUE",IF(L337&lt;=Settings!$C$13+Settings!C9,"AT RISK","OK"))))</f>
        <v/>
      </c>
      <c r="AB337" s="88" t="str">
        <f aca="false">IF(Z337&lt;&gt;"Closed","",IF(P337&gt;=Settings!$C$10,"OK","LOW"))</f>
        <v/>
      </c>
    </row>
    <row r="338" customFormat="false" ht="15" hidden="false" customHeight="true" outlineLevel="0" collapsed="false">
      <c r="M338" s="1" t="str">
        <f aca="false">IF(AND(L338&lt;&gt;"",Z338="Open"),L338-Settings!$C$13,"")</f>
        <v/>
      </c>
      <c r="N338" s="1" t="str">
        <f aca="false">IF(Z338&lt;&gt;"Open","",IF(L338="","",IF(L338&lt;Settings!$C$13,"OVERDUE",IF(L338&lt;=Settings!$C$13+Settings!C9,"AT RISK","OK"))))</f>
        <v/>
      </c>
      <c r="AB338" s="88" t="str">
        <f aca="false">IF(Z338&lt;&gt;"Closed","",IF(P338&gt;=Settings!$C$10,"OK","LOW"))</f>
        <v/>
      </c>
    </row>
    <row r="339" customFormat="false" ht="15" hidden="false" customHeight="true" outlineLevel="0" collapsed="false">
      <c r="M339" s="1" t="str">
        <f aca="false">IF(AND(L339&lt;&gt;"",Z339="Open"),L339-Settings!$C$13,"")</f>
        <v/>
      </c>
      <c r="N339" s="1" t="str">
        <f aca="false">IF(Z339&lt;&gt;"Open","",IF(L339="","",IF(L339&lt;Settings!$C$13,"OVERDUE",IF(L339&lt;=Settings!$C$13+Settings!C9,"AT RISK","OK"))))</f>
        <v/>
      </c>
      <c r="AB339" s="88" t="str">
        <f aca="false">IF(Z339&lt;&gt;"Closed","",IF(P339&gt;=Settings!$C$10,"OK","LOW"))</f>
        <v/>
      </c>
    </row>
    <row r="340" customFormat="false" ht="15" hidden="false" customHeight="true" outlineLevel="0" collapsed="false">
      <c r="M340" s="1" t="str">
        <f aca="false">IF(AND(L340&lt;&gt;"",Z340="Open"),L340-Settings!$C$13,"")</f>
        <v/>
      </c>
      <c r="N340" s="1" t="str">
        <f aca="false">IF(Z340&lt;&gt;"Open","",IF(L340="","",IF(L340&lt;Settings!$C$13,"OVERDUE",IF(L340&lt;=Settings!$C$13+Settings!C9,"AT RISK","OK"))))</f>
        <v/>
      </c>
      <c r="AB340" s="88" t="str">
        <f aca="false">IF(Z340&lt;&gt;"Closed","",IF(P340&gt;=Settings!$C$10,"OK","LOW"))</f>
        <v/>
      </c>
    </row>
    <row r="341" customFormat="false" ht="15" hidden="false" customHeight="true" outlineLevel="0" collapsed="false">
      <c r="M341" s="1" t="str">
        <f aca="false">IF(AND(L341&lt;&gt;"",Z341="Open"),L341-Settings!$C$13,"")</f>
        <v/>
      </c>
      <c r="N341" s="1" t="str">
        <f aca="false">IF(Z341&lt;&gt;"Open","",IF(L341="","",IF(L341&lt;Settings!$C$13,"OVERDUE",IF(L341&lt;=Settings!$C$13+Settings!C9,"AT RISK","OK"))))</f>
        <v/>
      </c>
      <c r="AB341" s="88" t="str">
        <f aca="false">IF(Z341&lt;&gt;"Closed","",IF(P341&gt;=Settings!$C$10,"OK","LOW"))</f>
        <v/>
      </c>
    </row>
    <row r="342" customFormat="false" ht="15" hidden="false" customHeight="true" outlineLevel="0" collapsed="false">
      <c r="M342" s="1" t="str">
        <f aca="false">IF(AND(L342&lt;&gt;"",Z342="Open"),L342-Settings!$C$13,"")</f>
        <v/>
      </c>
      <c r="N342" s="1" t="str">
        <f aca="false">IF(Z342&lt;&gt;"Open","",IF(L342="","",IF(L342&lt;Settings!$C$13,"OVERDUE",IF(L342&lt;=Settings!$C$13+Settings!C9,"AT RISK","OK"))))</f>
        <v/>
      </c>
      <c r="AB342" s="88" t="str">
        <f aca="false">IF(Z342&lt;&gt;"Closed","",IF(P342&gt;=Settings!$C$10,"OK","LOW"))</f>
        <v/>
      </c>
    </row>
    <row r="343" customFormat="false" ht="15" hidden="false" customHeight="true" outlineLevel="0" collapsed="false">
      <c r="M343" s="1" t="str">
        <f aca="false">IF(AND(L343&lt;&gt;"",Z343="Open"),L343-Settings!$C$13,"")</f>
        <v/>
      </c>
      <c r="N343" s="1" t="str">
        <f aca="false">IF(Z343&lt;&gt;"Open","",IF(L343="","",IF(L343&lt;Settings!$C$13,"OVERDUE",IF(L343&lt;=Settings!$C$13+Settings!C9,"AT RISK","OK"))))</f>
        <v/>
      </c>
      <c r="AB343" s="88" t="str">
        <f aca="false">IF(Z343&lt;&gt;"Closed","",IF(P343&gt;=Settings!$C$10,"OK","LOW"))</f>
        <v/>
      </c>
    </row>
    <row r="344" customFormat="false" ht="15" hidden="false" customHeight="true" outlineLevel="0" collapsed="false">
      <c r="M344" s="1" t="str">
        <f aca="false">IF(AND(L344&lt;&gt;"",Z344="Open"),L344-Settings!$C$13,"")</f>
        <v/>
      </c>
      <c r="N344" s="1" t="str">
        <f aca="false">IF(Z344&lt;&gt;"Open","",IF(L344="","",IF(L344&lt;Settings!$C$13,"OVERDUE",IF(L344&lt;=Settings!$C$13+Settings!C9,"AT RISK","OK"))))</f>
        <v/>
      </c>
      <c r="AB344" s="88" t="str">
        <f aca="false">IF(Z344&lt;&gt;"Closed","",IF(P344&gt;=Settings!$C$10,"OK","LOW"))</f>
        <v/>
      </c>
    </row>
    <row r="345" customFormat="false" ht="15" hidden="false" customHeight="true" outlineLevel="0" collapsed="false">
      <c r="M345" s="1" t="str">
        <f aca="false">IF(AND(L345&lt;&gt;"",Z345="Open"),L345-Settings!$C$13,"")</f>
        <v/>
      </c>
      <c r="N345" s="1" t="str">
        <f aca="false">IF(Z345&lt;&gt;"Open","",IF(L345="","",IF(L345&lt;Settings!$C$13,"OVERDUE",IF(L345&lt;=Settings!$C$13+Settings!C9,"AT RISK","OK"))))</f>
        <v/>
      </c>
      <c r="AB345" s="88" t="str">
        <f aca="false">IF(Z345&lt;&gt;"Closed","",IF(P345&gt;=Settings!$C$10,"OK","LOW"))</f>
        <v/>
      </c>
    </row>
    <row r="346" customFormat="false" ht="15" hidden="false" customHeight="true" outlineLevel="0" collapsed="false">
      <c r="M346" s="1" t="str">
        <f aca="false">IF(AND(L346&lt;&gt;"",Z346="Open"),L346-Settings!$C$13,"")</f>
        <v/>
      </c>
      <c r="N346" s="1" t="str">
        <f aca="false">IF(Z346&lt;&gt;"Open","",IF(L346="","",IF(L346&lt;Settings!$C$13,"OVERDUE",IF(L346&lt;=Settings!$C$13+Settings!C9,"AT RISK","OK"))))</f>
        <v/>
      </c>
      <c r="AB346" s="88" t="str">
        <f aca="false">IF(Z346&lt;&gt;"Closed","",IF(P346&gt;=Settings!$C$10,"OK","LOW"))</f>
        <v/>
      </c>
    </row>
    <row r="347" customFormat="false" ht="15" hidden="false" customHeight="true" outlineLevel="0" collapsed="false">
      <c r="M347" s="1" t="str">
        <f aca="false">IF(AND(L347&lt;&gt;"",Z347="Open"),L347-Settings!$C$13,"")</f>
        <v/>
      </c>
      <c r="N347" s="1" t="str">
        <f aca="false">IF(Z347&lt;&gt;"Open","",IF(L347="","",IF(L347&lt;Settings!$C$13,"OVERDUE",IF(L347&lt;=Settings!$C$13+Settings!C9,"AT RISK","OK"))))</f>
        <v/>
      </c>
      <c r="AB347" s="88" t="str">
        <f aca="false">IF(Z347&lt;&gt;"Closed","",IF(P347&gt;=Settings!$C$10,"OK","LOW"))</f>
        <v/>
      </c>
    </row>
    <row r="348" customFormat="false" ht="15" hidden="false" customHeight="true" outlineLevel="0" collapsed="false">
      <c r="M348" s="1" t="str">
        <f aca="false">IF(AND(L348&lt;&gt;"",Z348="Open"),L348-Settings!$C$13,"")</f>
        <v/>
      </c>
      <c r="N348" s="1" t="str">
        <f aca="false">IF(Z348&lt;&gt;"Open","",IF(L348="","",IF(L348&lt;Settings!$C$13,"OVERDUE",IF(L348&lt;=Settings!$C$13+Settings!C9,"AT RISK","OK"))))</f>
        <v/>
      </c>
      <c r="AB348" s="88" t="str">
        <f aca="false">IF(Z348&lt;&gt;"Closed","",IF(P348&gt;=Settings!$C$10,"OK","LOW"))</f>
        <v/>
      </c>
    </row>
    <row r="349" customFormat="false" ht="15" hidden="false" customHeight="true" outlineLevel="0" collapsed="false">
      <c r="M349" s="1" t="str">
        <f aca="false">IF(AND(L349&lt;&gt;"",Z349="Open"),L349-Settings!$C$13,"")</f>
        <v/>
      </c>
      <c r="N349" s="1" t="str">
        <f aca="false">IF(Z349&lt;&gt;"Open","",IF(L349="","",IF(L349&lt;Settings!$C$13,"OVERDUE",IF(L349&lt;=Settings!$C$13+Settings!C9,"AT RISK","OK"))))</f>
        <v/>
      </c>
      <c r="AB349" s="88" t="str">
        <f aca="false">IF(Z349&lt;&gt;"Closed","",IF(P349&gt;=Settings!$C$10,"OK","LOW"))</f>
        <v/>
      </c>
    </row>
    <row r="350" customFormat="false" ht="15" hidden="false" customHeight="true" outlineLevel="0" collapsed="false">
      <c r="M350" s="1" t="str">
        <f aca="false">IF(AND(L350&lt;&gt;"",Z350="Open"),L350-Settings!$C$13,"")</f>
        <v/>
      </c>
      <c r="N350" s="1" t="str">
        <f aca="false">IF(Z350&lt;&gt;"Open","",IF(L350="","",IF(L350&lt;Settings!$C$13,"OVERDUE",IF(L350&lt;=Settings!$C$13+Settings!C9,"AT RISK","OK"))))</f>
        <v/>
      </c>
      <c r="AB350" s="88" t="str">
        <f aca="false">IF(Z350&lt;&gt;"Closed","",IF(P350&gt;=Settings!$C$10,"OK","LOW"))</f>
        <v/>
      </c>
    </row>
    <row r="351" customFormat="false" ht="15" hidden="false" customHeight="true" outlineLevel="0" collapsed="false">
      <c r="M351" s="1" t="str">
        <f aca="false">IF(AND(L351&lt;&gt;"",Z351="Open"),L351-Settings!$C$13,"")</f>
        <v/>
      </c>
      <c r="N351" s="1" t="str">
        <f aca="false">IF(Z351&lt;&gt;"Open","",IF(L351="","",IF(L351&lt;Settings!$C$13,"OVERDUE",IF(L351&lt;=Settings!$C$13+Settings!C9,"AT RISK","OK"))))</f>
        <v/>
      </c>
      <c r="AB351" s="88" t="str">
        <f aca="false">IF(Z351&lt;&gt;"Closed","",IF(P351&gt;=Settings!$C$10,"OK","LOW"))</f>
        <v/>
      </c>
    </row>
    <row r="352" customFormat="false" ht="15" hidden="false" customHeight="true" outlineLevel="0" collapsed="false">
      <c r="M352" s="1" t="str">
        <f aca="false">IF(AND(L352&lt;&gt;"",Z352="Open"),L352-Settings!$C$13,"")</f>
        <v/>
      </c>
      <c r="N352" s="1" t="str">
        <f aca="false">IF(Z352&lt;&gt;"Open","",IF(L352="","",IF(L352&lt;Settings!$C$13,"OVERDUE",IF(L352&lt;=Settings!$C$13+Settings!C9,"AT RISK","OK"))))</f>
        <v/>
      </c>
      <c r="AB352" s="88" t="str">
        <f aca="false">IF(Z352&lt;&gt;"Closed","",IF(P352&gt;=Settings!$C$10,"OK","LOW"))</f>
        <v/>
      </c>
    </row>
    <row r="353" customFormat="false" ht="15" hidden="false" customHeight="true" outlineLevel="0" collapsed="false">
      <c r="M353" s="1" t="str">
        <f aca="false">IF(AND(L353&lt;&gt;"",Z353="Open"),L353-Settings!$C$13,"")</f>
        <v/>
      </c>
      <c r="N353" s="1" t="str">
        <f aca="false">IF(Z353&lt;&gt;"Open","",IF(L353="","",IF(L353&lt;Settings!$C$13,"OVERDUE",IF(L353&lt;=Settings!$C$13+Settings!C9,"AT RISK","OK"))))</f>
        <v/>
      </c>
      <c r="AB353" s="88" t="str">
        <f aca="false">IF(Z353&lt;&gt;"Closed","",IF(P353&gt;=Settings!$C$10,"OK","LOW"))</f>
        <v/>
      </c>
    </row>
    <row r="354" customFormat="false" ht="15" hidden="false" customHeight="true" outlineLevel="0" collapsed="false">
      <c r="M354" s="1" t="str">
        <f aca="false">IF(AND(L354&lt;&gt;"",Z354="Open"),L354-Settings!$C$13,"")</f>
        <v/>
      </c>
      <c r="N354" s="1" t="str">
        <f aca="false">IF(Z354&lt;&gt;"Open","",IF(L354="","",IF(L354&lt;Settings!$C$13,"OVERDUE",IF(L354&lt;=Settings!$C$13+Settings!C9,"AT RISK","OK"))))</f>
        <v/>
      </c>
      <c r="AB354" s="88" t="str">
        <f aca="false">IF(Z354&lt;&gt;"Closed","",IF(P354&gt;=Settings!$C$10,"OK","LOW"))</f>
        <v/>
      </c>
    </row>
    <row r="355" customFormat="false" ht="15" hidden="false" customHeight="true" outlineLevel="0" collapsed="false">
      <c r="M355" s="1" t="str">
        <f aca="false">IF(AND(L355&lt;&gt;"",Z355="Open"),L355-Settings!$C$13,"")</f>
        <v/>
      </c>
      <c r="N355" s="1" t="str">
        <f aca="false">IF(Z355&lt;&gt;"Open","",IF(L355="","",IF(L355&lt;Settings!$C$13,"OVERDUE",IF(L355&lt;=Settings!$C$13+Settings!C9,"AT RISK","OK"))))</f>
        <v/>
      </c>
      <c r="AB355" s="88" t="str">
        <f aca="false">IF(Z355&lt;&gt;"Closed","",IF(P355&gt;=Settings!$C$10,"OK","LOW"))</f>
        <v/>
      </c>
    </row>
    <row r="356" customFormat="false" ht="15" hidden="false" customHeight="true" outlineLevel="0" collapsed="false">
      <c r="M356" s="1" t="str">
        <f aca="false">IF(AND(L356&lt;&gt;"",Z356="Open"),L356-Settings!$C$13,"")</f>
        <v/>
      </c>
      <c r="N356" s="1" t="str">
        <f aca="false">IF(Z356&lt;&gt;"Open","",IF(L356="","",IF(L356&lt;Settings!$C$13,"OVERDUE",IF(L356&lt;=Settings!$C$13+Settings!C9,"AT RISK","OK"))))</f>
        <v/>
      </c>
      <c r="AB356" s="88" t="str">
        <f aca="false">IF(Z356&lt;&gt;"Closed","",IF(P356&gt;=Settings!$C$10,"OK","LOW"))</f>
        <v/>
      </c>
    </row>
    <row r="357" customFormat="false" ht="15" hidden="false" customHeight="true" outlineLevel="0" collapsed="false">
      <c r="M357" s="1" t="str">
        <f aca="false">IF(AND(L357&lt;&gt;"",Z357="Open"),L357-Settings!$C$13,"")</f>
        <v/>
      </c>
      <c r="N357" s="1" t="str">
        <f aca="false">IF(Z357&lt;&gt;"Open","",IF(L357="","",IF(L357&lt;Settings!$C$13,"OVERDUE",IF(L357&lt;=Settings!$C$13+Settings!C9,"AT RISK","OK"))))</f>
        <v/>
      </c>
      <c r="AB357" s="88" t="str">
        <f aca="false">IF(Z357&lt;&gt;"Closed","",IF(P357&gt;=Settings!$C$10,"OK","LOW"))</f>
        <v/>
      </c>
    </row>
    <row r="358" customFormat="false" ht="15" hidden="false" customHeight="true" outlineLevel="0" collapsed="false">
      <c r="M358" s="1" t="str">
        <f aca="false">IF(AND(L358&lt;&gt;"",Z358="Open"),L358-Settings!$C$13,"")</f>
        <v/>
      </c>
      <c r="N358" s="1" t="str">
        <f aca="false">IF(Z358&lt;&gt;"Open","",IF(L358="","",IF(L358&lt;Settings!$C$13,"OVERDUE",IF(L358&lt;=Settings!$C$13+Settings!C9,"AT RISK","OK"))))</f>
        <v/>
      </c>
      <c r="AB358" s="88" t="str">
        <f aca="false">IF(Z358&lt;&gt;"Closed","",IF(P358&gt;=Settings!$C$10,"OK","LOW"))</f>
        <v/>
      </c>
    </row>
    <row r="359" customFormat="false" ht="15" hidden="false" customHeight="true" outlineLevel="0" collapsed="false">
      <c r="M359" s="1" t="str">
        <f aca="false">IF(AND(L359&lt;&gt;"",Z359="Open"),L359-Settings!$C$13,"")</f>
        <v/>
      </c>
      <c r="N359" s="1" t="str">
        <f aca="false">IF(Z359&lt;&gt;"Open","",IF(L359="","",IF(L359&lt;Settings!$C$13,"OVERDUE",IF(L359&lt;=Settings!$C$13+Settings!C9,"AT RISK","OK"))))</f>
        <v/>
      </c>
      <c r="AB359" s="88" t="str">
        <f aca="false">IF(Z359&lt;&gt;"Closed","",IF(P359&gt;=Settings!$C$10,"OK","LOW"))</f>
        <v/>
      </c>
    </row>
    <row r="360" customFormat="false" ht="15" hidden="false" customHeight="true" outlineLevel="0" collapsed="false">
      <c r="M360" s="1" t="str">
        <f aca="false">IF(AND(L360&lt;&gt;"",Z360="Open"),L360-Settings!$C$13,"")</f>
        <v/>
      </c>
      <c r="N360" s="1" t="str">
        <f aca="false">IF(Z360&lt;&gt;"Open","",IF(L360="","",IF(L360&lt;Settings!$C$13,"OVERDUE",IF(L360&lt;=Settings!$C$13+Settings!C9,"AT RISK","OK"))))</f>
        <v/>
      </c>
      <c r="AB360" s="88" t="str">
        <f aca="false">IF(Z360&lt;&gt;"Closed","",IF(P360&gt;=Settings!$C$10,"OK","LOW"))</f>
        <v/>
      </c>
    </row>
    <row r="361" customFormat="false" ht="15" hidden="false" customHeight="true" outlineLevel="0" collapsed="false">
      <c r="M361" s="1" t="str">
        <f aca="false">IF(AND(L361&lt;&gt;"",Z361="Open"),L361-Settings!$C$13,"")</f>
        <v/>
      </c>
      <c r="N361" s="1" t="str">
        <f aca="false">IF(Z361&lt;&gt;"Open","",IF(L361="","",IF(L361&lt;Settings!$C$13,"OVERDUE",IF(L361&lt;=Settings!$C$13+Settings!C9,"AT RISK","OK"))))</f>
        <v/>
      </c>
      <c r="AB361" s="88" t="str">
        <f aca="false">IF(Z361&lt;&gt;"Closed","",IF(P361&gt;=Settings!$C$10,"OK","LOW"))</f>
        <v/>
      </c>
    </row>
    <row r="362" customFormat="false" ht="15" hidden="false" customHeight="true" outlineLevel="0" collapsed="false">
      <c r="M362" s="1" t="str">
        <f aca="false">IF(AND(L362&lt;&gt;"",Z362="Open"),L362-Settings!$C$13,"")</f>
        <v/>
      </c>
      <c r="N362" s="1" t="str">
        <f aca="false">IF(Z362&lt;&gt;"Open","",IF(L362="","",IF(L362&lt;Settings!$C$13,"OVERDUE",IF(L362&lt;=Settings!$C$13+Settings!C9,"AT RISK","OK"))))</f>
        <v/>
      </c>
      <c r="AB362" s="88" t="str">
        <f aca="false">IF(Z362&lt;&gt;"Closed","",IF(P362&gt;=Settings!$C$10,"OK","LOW"))</f>
        <v/>
      </c>
    </row>
    <row r="363" customFormat="false" ht="15" hidden="false" customHeight="true" outlineLevel="0" collapsed="false">
      <c r="M363" s="1" t="str">
        <f aca="false">IF(AND(L363&lt;&gt;"",Z363="Open"),L363-Settings!$C$13,"")</f>
        <v/>
      </c>
      <c r="N363" s="1" t="str">
        <f aca="false">IF(Z363&lt;&gt;"Open","",IF(L363="","",IF(L363&lt;Settings!$C$13,"OVERDUE",IF(L363&lt;=Settings!$C$13+Settings!C9,"AT RISK","OK"))))</f>
        <v/>
      </c>
      <c r="AB363" s="88" t="str">
        <f aca="false">IF(Z363&lt;&gt;"Closed","",IF(P363&gt;=Settings!$C$10,"OK","LOW"))</f>
        <v/>
      </c>
    </row>
    <row r="364" customFormat="false" ht="15" hidden="false" customHeight="true" outlineLevel="0" collapsed="false">
      <c r="M364" s="1" t="str">
        <f aca="false">IF(AND(L364&lt;&gt;"",Z364="Open"),L364-Settings!$C$13,"")</f>
        <v/>
      </c>
      <c r="N364" s="1" t="str">
        <f aca="false">IF(Z364&lt;&gt;"Open","",IF(L364="","",IF(L364&lt;Settings!$C$13,"OVERDUE",IF(L364&lt;=Settings!$C$13+Settings!C9,"AT RISK","OK"))))</f>
        <v/>
      </c>
      <c r="AB364" s="88" t="str">
        <f aca="false">IF(Z364&lt;&gt;"Closed","",IF(P364&gt;=Settings!$C$10,"OK","LOW"))</f>
        <v/>
      </c>
    </row>
    <row r="365" customFormat="false" ht="15" hidden="false" customHeight="true" outlineLevel="0" collapsed="false">
      <c r="M365" s="1" t="str">
        <f aca="false">IF(AND(L365&lt;&gt;"",Z365="Open"),L365-Settings!$C$13,"")</f>
        <v/>
      </c>
      <c r="N365" s="1" t="str">
        <f aca="false">IF(Z365&lt;&gt;"Open","",IF(L365="","",IF(L365&lt;Settings!$C$13,"OVERDUE",IF(L365&lt;=Settings!$C$13+Settings!C9,"AT RISK","OK"))))</f>
        <v/>
      </c>
      <c r="AB365" s="88" t="str">
        <f aca="false">IF(Z365&lt;&gt;"Closed","",IF(P365&gt;=Settings!$C$10,"OK","LOW"))</f>
        <v/>
      </c>
    </row>
    <row r="366" customFormat="false" ht="15" hidden="false" customHeight="true" outlineLevel="0" collapsed="false">
      <c r="M366" s="1" t="str">
        <f aca="false">IF(AND(L366&lt;&gt;"",Z366="Open"),L366-Settings!$C$13,"")</f>
        <v/>
      </c>
      <c r="N366" s="1" t="str">
        <f aca="false">IF(Z366&lt;&gt;"Open","",IF(L366="","",IF(L366&lt;Settings!$C$13,"OVERDUE",IF(L366&lt;=Settings!$C$13+Settings!C9,"AT RISK","OK"))))</f>
        <v/>
      </c>
      <c r="AB366" s="88" t="str">
        <f aca="false">IF(Z366&lt;&gt;"Closed","",IF(P366&gt;=Settings!$C$10,"OK","LOW"))</f>
        <v/>
      </c>
    </row>
    <row r="367" customFormat="false" ht="15" hidden="false" customHeight="true" outlineLevel="0" collapsed="false">
      <c r="M367" s="1" t="str">
        <f aca="false">IF(AND(L367&lt;&gt;"",Z367="Open"),L367-Settings!$C$13,"")</f>
        <v/>
      </c>
      <c r="N367" s="1" t="str">
        <f aca="false">IF(Z367&lt;&gt;"Open","",IF(L367="","",IF(L367&lt;Settings!$C$13,"OVERDUE",IF(L367&lt;=Settings!$C$13+Settings!C9,"AT RISK","OK"))))</f>
        <v/>
      </c>
      <c r="AB367" s="88" t="str">
        <f aca="false">IF(Z367&lt;&gt;"Closed","",IF(P367&gt;=Settings!$C$10,"OK","LOW"))</f>
        <v/>
      </c>
    </row>
    <row r="368" customFormat="false" ht="15" hidden="false" customHeight="true" outlineLevel="0" collapsed="false">
      <c r="M368" s="1" t="str">
        <f aca="false">IF(AND(L368&lt;&gt;"",Z368="Open"),L368-Settings!$C$13,"")</f>
        <v/>
      </c>
      <c r="N368" s="1" t="str">
        <f aca="false">IF(Z368&lt;&gt;"Open","",IF(L368="","",IF(L368&lt;Settings!$C$13,"OVERDUE",IF(L368&lt;=Settings!$C$13+Settings!C9,"AT RISK","OK"))))</f>
        <v/>
      </c>
      <c r="AB368" s="88" t="str">
        <f aca="false">IF(Z368&lt;&gt;"Closed","",IF(P368&gt;=Settings!$C$10,"OK","LOW"))</f>
        <v/>
      </c>
    </row>
    <row r="369" customFormat="false" ht="15" hidden="false" customHeight="true" outlineLevel="0" collapsed="false">
      <c r="M369" s="1" t="str">
        <f aca="false">IF(AND(L369&lt;&gt;"",Z369="Open"),L369-Settings!$C$13,"")</f>
        <v/>
      </c>
      <c r="N369" s="1" t="str">
        <f aca="false">IF(Z369&lt;&gt;"Open","",IF(L369="","",IF(L369&lt;Settings!$C$13,"OVERDUE",IF(L369&lt;=Settings!$C$13+Settings!C9,"AT RISK","OK"))))</f>
        <v/>
      </c>
      <c r="AB369" s="88" t="str">
        <f aca="false">IF(Z369&lt;&gt;"Closed","",IF(P369&gt;=Settings!$C$10,"OK","LOW"))</f>
        <v/>
      </c>
    </row>
    <row r="370" customFormat="false" ht="15" hidden="false" customHeight="true" outlineLevel="0" collapsed="false">
      <c r="M370" s="1" t="str">
        <f aca="false">IF(AND(L370&lt;&gt;"",Z370="Open"),L370-Settings!$C$13,"")</f>
        <v/>
      </c>
      <c r="N370" s="1" t="str">
        <f aca="false">IF(Z370&lt;&gt;"Open","",IF(L370="","",IF(L370&lt;Settings!$C$13,"OVERDUE",IF(L370&lt;=Settings!$C$13+Settings!C9,"AT RISK","OK"))))</f>
        <v/>
      </c>
      <c r="AB370" s="88" t="str">
        <f aca="false">IF(Z370&lt;&gt;"Closed","",IF(P370&gt;=Settings!$C$10,"OK","LOW"))</f>
        <v/>
      </c>
    </row>
    <row r="371" customFormat="false" ht="15" hidden="false" customHeight="true" outlineLevel="0" collapsed="false">
      <c r="M371" s="1" t="str">
        <f aca="false">IF(AND(L371&lt;&gt;"",Z371="Open"),L371-Settings!$C$13,"")</f>
        <v/>
      </c>
      <c r="N371" s="1" t="str">
        <f aca="false">IF(Z371&lt;&gt;"Open","",IF(L371="","",IF(L371&lt;Settings!$C$13,"OVERDUE",IF(L371&lt;=Settings!$C$13+Settings!C9,"AT RISK","OK"))))</f>
        <v/>
      </c>
      <c r="AB371" s="88" t="str">
        <f aca="false">IF(Z371&lt;&gt;"Closed","",IF(P371&gt;=Settings!$C$10,"OK","LOW"))</f>
        <v/>
      </c>
    </row>
    <row r="372" customFormat="false" ht="15" hidden="false" customHeight="true" outlineLevel="0" collapsed="false">
      <c r="M372" s="1" t="str">
        <f aca="false">IF(AND(L372&lt;&gt;"",Z372="Open"),L372-Settings!$C$13,"")</f>
        <v/>
      </c>
      <c r="N372" s="1" t="str">
        <f aca="false">IF(Z372&lt;&gt;"Open","",IF(L372="","",IF(L372&lt;Settings!$C$13,"OVERDUE",IF(L372&lt;=Settings!$C$13+Settings!C9,"AT RISK","OK"))))</f>
        <v/>
      </c>
      <c r="AB372" s="88" t="str">
        <f aca="false">IF(Z372&lt;&gt;"Closed","",IF(P372&gt;=Settings!$C$10,"OK","LOW"))</f>
        <v/>
      </c>
    </row>
    <row r="373" customFormat="false" ht="15" hidden="false" customHeight="true" outlineLevel="0" collapsed="false">
      <c r="M373" s="1" t="str">
        <f aca="false">IF(AND(L373&lt;&gt;"",Z373="Open"),L373-Settings!$C$13,"")</f>
        <v/>
      </c>
      <c r="N373" s="1" t="str">
        <f aca="false">IF(Z373&lt;&gt;"Open","",IF(L373="","",IF(L373&lt;Settings!$C$13,"OVERDUE",IF(L373&lt;=Settings!$C$13+Settings!C9,"AT RISK","OK"))))</f>
        <v/>
      </c>
      <c r="AB373" s="88" t="str">
        <f aca="false">IF(Z373&lt;&gt;"Closed","",IF(P373&gt;=Settings!$C$10,"OK","LOW"))</f>
        <v/>
      </c>
    </row>
    <row r="374" customFormat="false" ht="15" hidden="false" customHeight="true" outlineLevel="0" collapsed="false">
      <c r="M374" s="1" t="str">
        <f aca="false">IF(AND(L374&lt;&gt;"",Z374="Open"),L374-Settings!$C$13,"")</f>
        <v/>
      </c>
      <c r="N374" s="1" t="str">
        <f aca="false">IF(Z374&lt;&gt;"Open","",IF(L374="","",IF(L374&lt;Settings!$C$13,"OVERDUE",IF(L374&lt;=Settings!$C$13+Settings!C9,"AT RISK","OK"))))</f>
        <v/>
      </c>
      <c r="AB374" s="88" t="str">
        <f aca="false">IF(Z374&lt;&gt;"Closed","",IF(P374&gt;=Settings!$C$10,"OK","LOW"))</f>
        <v/>
      </c>
    </row>
    <row r="375" customFormat="false" ht="15" hidden="false" customHeight="true" outlineLevel="0" collapsed="false">
      <c r="M375" s="1" t="str">
        <f aca="false">IF(AND(L375&lt;&gt;"",Z375="Open"),L375-Settings!$C$13,"")</f>
        <v/>
      </c>
      <c r="N375" s="1" t="str">
        <f aca="false">IF(Z375&lt;&gt;"Open","",IF(L375="","",IF(L375&lt;Settings!$C$13,"OVERDUE",IF(L375&lt;=Settings!$C$13+Settings!C9,"AT RISK","OK"))))</f>
        <v/>
      </c>
      <c r="AB375" s="88" t="str">
        <f aca="false">IF(Z375&lt;&gt;"Closed","",IF(P375&gt;=Settings!$C$10,"OK","LOW"))</f>
        <v/>
      </c>
    </row>
    <row r="376" customFormat="false" ht="15" hidden="false" customHeight="true" outlineLevel="0" collapsed="false">
      <c r="M376" s="1" t="str">
        <f aca="false">IF(AND(L376&lt;&gt;"",Z376="Open"),L376-Settings!$C$13,"")</f>
        <v/>
      </c>
      <c r="N376" s="1" t="str">
        <f aca="false">IF(Z376&lt;&gt;"Open","",IF(L376="","",IF(L376&lt;Settings!$C$13,"OVERDUE",IF(L376&lt;=Settings!$C$13+Settings!C9,"AT RISK","OK"))))</f>
        <v/>
      </c>
      <c r="AB376" s="88" t="str">
        <f aca="false">IF(Z376&lt;&gt;"Closed","",IF(P376&gt;=Settings!$C$10,"OK","LOW"))</f>
        <v/>
      </c>
    </row>
    <row r="377" customFormat="false" ht="15" hidden="false" customHeight="true" outlineLevel="0" collapsed="false">
      <c r="M377" s="1" t="str">
        <f aca="false">IF(AND(L377&lt;&gt;"",Z377="Open"),L377-Settings!$C$13,"")</f>
        <v/>
      </c>
      <c r="N377" s="1" t="str">
        <f aca="false">IF(Z377&lt;&gt;"Open","",IF(L377="","",IF(L377&lt;Settings!$C$13,"OVERDUE",IF(L377&lt;=Settings!$C$13+Settings!C9,"AT RISK","OK"))))</f>
        <v/>
      </c>
      <c r="AB377" s="88" t="str">
        <f aca="false">IF(Z377&lt;&gt;"Closed","",IF(P377&gt;=Settings!$C$10,"OK","LOW"))</f>
        <v/>
      </c>
    </row>
    <row r="378" customFormat="false" ht="15" hidden="false" customHeight="true" outlineLevel="0" collapsed="false">
      <c r="M378" s="1" t="str">
        <f aca="false">IF(AND(L378&lt;&gt;"",Z378="Open"),L378-Settings!$C$13,"")</f>
        <v/>
      </c>
      <c r="N378" s="1" t="str">
        <f aca="false">IF(Z378&lt;&gt;"Open","",IF(L378="","",IF(L378&lt;Settings!$C$13,"OVERDUE",IF(L378&lt;=Settings!$C$13+Settings!C9,"AT RISK","OK"))))</f>
        <v/>
      </c>
      <c r="AB378" s="88" t="str">
        <f aca="false">IF(Z378&lt;&gt;"Closed","",IF(P378&gt;=Settings!$C$10,"OK","LOW"))</f>
        <v/>
      </c>
    </row>
    <row r="379" customFormat="false" ht="15" hidden="false" customHeight="true" outlineLevel="0" collapsed="false">
      <c r="M379" s="1" t="str">
        <f aca="false">IF(AND(L379&lt;&gt;"",Z379="Open"),L379-Settings!$C$13,"")</f>
        <v/>
      </c>
      <c r="N379" s="1" t="str">
        <f aca="false">IF(Z379&lt;&gt;"Open","",IF(L379="","",IF(L379&lt;Settings!$C$13,"OVERDUE",IF(L379&lt;=Settings!$C$13+Settings!C9,"AT RISK","OK"))))</f>
        <v/>
      </c>
      <c r="AB379" s="88" t="str">
        <f aca="false">IF(Z379&lt;&gt;"Closed","",IF(P379&gt;=Settings!$C$10,"OK","LOW"))</f>
        <v/>
      </c>
    </row>
    <row r="380" customFormat="false" ht="15" hidden="false" customHeight="true" outlineLevel="0" collapsed="false">
      <c r="M380" s="1" t="str">
        <f aca="false">IF(AND(L380&lt;&gt;"",Z380="Open"),L380-Settings!$C$13,"")</f>
        <v/>
      </c>
      <c r="N380" s="1" t="str">
        <f aca="false">IF(Z380&lt;&gt;"Open","",IF(L380="","",IF(L380&lt;Settings!$C$13,"OVERDUE",IF(L380&lt;=Settings!$C$13+Settings!C9,"AT RISK","OK"))))</f>
        <v/>
      </c>
      <c r="AB380" s="88" t="str">
        <f aca="false">IF(Z380&lt;&gt;"Closed","",IF(P380&gt;=Settings!$C$10,"OK","LOW"))</f>
        <v/>
      </c>
    </row>
    <row r="381" customFormat="false" ht="15" hidden="false" customHeight="true" outlineLevel="0" collapsed="false">
      <c r="M381" s="1" t="str">
        <f aca="false">IF(AND(L381&lt;&gt;"",Z381="Open"),L381-Settings!$C$13,"")</f>
        <v/>
      </c>
      <c r="N381" s="1" t="str">
        <f aca="false">IF(Z381&lt;&gt;"Open","",IF(L381="","",IF(L381&lt;Settings!$C$13,"OVERDUE",IF(L381&lt;=Settings!$C$13+Settings!C9,"AT RISK","OK"))))</f>
        <v/>
      </c>
      <c r="AB381" s="88" t="str">
        <f aca="false">IF(Z381&lt;&gt;"Closed","",IF(P381&gt;=Settings!$C$10,"OK","LOW"))</f>
        <v/>
      </c>
    </row>
    <row r="382" customFormat="false" ht="15" hidden="false" customHeight="true" outlineLevel="0" collapsed="false">
      <c r="M382" s="1" t="str">
        <f aca="false">IF(AND(L382&lt;&gt;"",Z382="Open"),L382-Settings!$C$13,"")</f>
        <v/>
      </c>
      <c r="N382" s="1" t="str">
        <f aca="false">IF(Z382&lt;&gt;"Open","",IF(L382="","",IF(L382&lt;Settings!$C$13,"OVERDUE",IF(L382&lt;=Settings!$C$13+Settings!C9,"AT RISK","OK"))))</f>
        <v/>
      </c>
      <c r="AB382" s="88" t="str">
        <f aca="false">IF(Z382&lt;&gt;"Closed","",IF(P382&gt;=Settings!$C$10,"OK","LOW"))</f>
        <v/>
      </c>
    </row>
    <row r="383" customFormat="false" ht="15" hidden="false" customHeight="true" outlineLevel="0" collapsed="false">
      <c r="M383" s="1" t="str">
        <f aca="false">IF(AND(L383&lt;&gt;"",Z383="Open"),L383-Settings!$C$13,"")</f>
        <v/>
      </c>
      <c r="N383" s="1" t="str">
        <f aca="false">IF(Z383&lt;&gt;"Open","",IF(L383="","",IF(L383&lt;Settings!$C$13,"OVERDUE",IF(L383&lt;=Settings!$C$13+Settings!C9,"AT RISK","OK"))))</f>
        <v/>
      </c>
      <c r="AB383" s="88" t="str">
        <f aca="false">IF(Z383&lt;&gt;"Closed","",IF(P383&gt;=Settings!$C$10,"OK","LOW"))</f>
        <v/>
      </c>
    </row>
    <row r="384" customFormat="false" ht="15" hidden="false" customHeight="true" outlineLevel="0" collapsed="false">
      <c r="M384" s="1" t="str">
        <f aca="false">IF(AND(L384&lt;&gt;"",Z384="Open"),L384-Settings!$C$13,"")</f>
        <v/>
      </c>
      <c r="N384" s="1" t="str">
        <f aca="false">IF(Z384&lt;&gt;"Open","",IF(L384="","",IF(L384&lt;Settings!$C$13,"OVERDUE",IF(L384&lt;=Settings!$C$13+Settings!C9,"AT RISK","OK"))))</f>
        <v/>
      </c>
      <c r="AB384" s="88" t="str">
        <f aca="false">IF(Z384&lt;&gt;"Closed","",IF(P384&gt;=Settings!$C$10,"OK","LOW"))</f>
        <v/>
      </c>
    </row>
    <row r="385" customFormat="false" ht="15" hidden="false" customHeight="true" outlineLevel="0" collapsed="false">
      <c r="M385" s="1" t="str">
        <f aca="false">IF(AND(L385&lt;&gt;"",Z385="Open"),L385-Settings!$C$13,"")</f>
        <v/>
      </c>
      <c r="N385" s="1" t="str">
        <f aca="false">IF(Z385&lt;&gt;"Open","",IF(L385="","",IF(L385&lt;Settings!$C$13,"OVERDUE",IF(L385&lt;=Settings!$C$13+Settings!C9,"AT RISK","OK"))))</f>
        <v/>
      </c>
      <c r="AB385" s="88" t="str">
        <f aca="false">IF(Z385&lt;&gt;"Closed","",IF(P385&gt;=Settings!$C$10,"OK","LOW"))</f>
        <v/>
      </c>
    </row>
    <row r="386" customFormat="false" ht="15" hidden="false" customHeight="true" outlineLevel="0" collapsed="false">
      <c r="M386" s="1" t="str">
        <f aca="false">IF(AND(L386&lt;&gt;"",Z386="Open"),L386-Settings!$C$13,"")</f>
        <v/>
      </c>
      <c r="N386" s="1" t="str">
        <f aca="false">IF(Z386&lt;&gt;"Open","",IF(L386="","",IF(L386&lt;Settings!$C$13,"OVERDUE",IF(L386&lt;=Settings!$C$13+Settings!C9,"AT RISK","OK"))))</f>
        <v/>
      </c>
      <c r="AB386" s="88" t="str">
        <f aca="false">IF(Z386&lt;&gt;"Closed","",IF(P386&gt;=Settings!$C$10,"OK","LOW"))</f>
        <v/>
      </c>
    </row>
    <row r="387" customFormat="false" ht="15" hidden="false" customHeight="true" outlineLevel="0" collapsed="false">
      <c r="M387" s="1" t="str">
        <f aca="false">IF(AND(L387&lt;&gt;"",Z387="Open"),L387-Settings!$C$13,"")</f>
        <v/>
      </c>
      <c r="N387" s="1" t="str">
        <f aca="false">IF(Z387&lt;&gt;"Open","",IF(L387="","",IF(L387&lt;Settings!$C$13,"OVERDUE",IF(L387&lt;=Settings!$C$13+Settings!C9,"AT RISK","OK"))))</f>
        <v/>
      </c>
      <c r="AB387" s="88" t="str">
        <f aca="false">IF(Z387&lt;&gt;"Closed","",IF(P387&gt;=Settings!$C$10,"OK","LOW"))</f>
        <v/>
      </c>
    </row>
    <row r="388" customFormat="false" ht="15" hidden="false" customHeight="true" outlineLevel="0" collapsed="false">
      <c r="M388" s="1" t="str">
        <f aca="false">IF(AND(L388&lt;&gt;"",Z388="Open"),L388-Settings!$C$13,"")</f>
        <v/>
      </c>
      <c r="N388" s="1" t="str">
        <f aca="false">IF(Z388&lt;&gt;"Open","",IF(L388="","",IF(L388&lt;Settings!$C$13,"OVERDUE",IF(L388&lt;=Settings!$C$13+Settings!C9,"AT RISK","OK"))))</f>
        <v/>
      </c>
      <c r="AB388" s="88" t="str">
        <f aca="false">IF(Z388&lt;&gt;"Closed","",IF(P388&gt;=Settings!$C$10,"OK","LOW"))</f>
        <v/>
      </c>
    </row>
    <row r="389" customFormat="false" ht="15" hidden="false" customHeight="true" outlineLevel="0" collapsed="false">
      <c r="M389" s="1" t="str">
        <f aca="false">IF(AND(L389&lt;&gt;"",Z389="Open"),L389-Settings!$C$13,"")</f>
        <v/>
      </c>
      <c r="N389" s="1" t="str">
        <f aca="false">IF(Z389&lt;&gt;"Open","",IF(L389="","",IF(L389&lt;Settings!$C$13,"OVERDUE",IF(L389&lt;=Settings!$C$13+Settings!C9,"AT RISK","OK"))))</f>
        <v/>
      </c>
      <c r="AB389" s="88" t="str">
        <f aca="false">IF(Z389&lt;&gt;"Closed","",IF(P389&gt;=Settings!$C$10,"OK","LOW"))</f>
        <v/>
      </c>
    </row>
    <row r="390" customFormat="false" ht="15" hidden="false" customHeight="true" outlineLevel="0" collapsed="false">
      <c r="M390" s="1" t="str">
        <f aca="false">IF(AND(L390&lt;&gt;"",Z390="Open"),L390-Settings!$C$13,"")</f>
        <v/>
      </c>
      <c r="N390" s="1" t="str">
        <f aca="false">IF(Z390&lt;&gt;"Open","",IF(L390="","",IF(L390&lt;Settings!$C$13,"OVERDUE",IF(L390&lt;=Settings!$C$13+Settings!C9,"AT RISK","OK"))))</f>
        <v/>
      </c>
      <c r="AB390" s="88" t="str">
        <f aca="false">IF(Z390&lt;&gt;"Closed","",IF(P390&gt;=Settings!$C$10,"OK","LOW"))</f>
        <v/>
      </c>
    </row>
    <row r="391" customFormat="false" ht="15" hidden="false" customHeight="true" outlineLevel="0" collapsed="false">
      <c r="M391" s="1" t="str">
        <f aca="false">IF(AND(L391&lt;&gt;"",Z391="Open"),L391-Settings!$C$13,"")</f>
        <v/>
      </c>
      <c r="N391" s="1" t="str">
        <f aca="false">IF(Z391&lt;&gt;"Open","",IF(L391="","",IF(L391&lt;Settings!$C$13,"OVERDUE",IF(L391&lt;=Settings!$C$13+Settings!C9,"AT RISK","OK"))))</f>
        <v/>
      </c>
      <c r="AB391" s="88" t="str">
        <f aca="false">IF(Z391&lt;&gt;"Closed","",IF(P391&gt;=Settings!$C$10,"OK","LOW"))</f>
        <v/>
      </c>
    </row>
    <row r="392" customFormat="false" ht="15" hidden="false" customHeight="true" outlineLevel="0" collapsed="false">
      <c r="M392" s="1" t="str">
        <f aca="false">IF(AND(L392&lt;&gt;"",Z392="Open"),L392-Settings!$C$13,"")</f>
        <v/>
      </c>
      <c r="N392" s="1" t="str">
        <f aca="false">IF(Z392&lt;&gt;"Open","",IF(L392="","",IF(L392&lt;Settings!$C$13,"OVERDUE",IF(L392&lt;=Settings!$C$13+Settings!C9,"AT RISK","OK"))))</f>
        <v/>
      </c>
      <c r="AB392" s="88" t="str">
        <f aca="false">IF(Z392&lt;&gt;"Closed","",IF(P392&gt;=Settings!$C$10,"OK","LOW"))</f>
        <v/>
      </c>
    </row>
    <row r="393" customFormat="false" ht="15" hidden="false" customHeight="true" outlineLevel="0" collapsed="false">
      <c r="M393" s="1" t="str">
        <f aca="false">IF(AND(L393&lt;&gt;"",Z393="Open"),L393-Settings!$C$13,"")</f>
        <v/>
      </c>
      <c r="N393" s="1" t="str">
        <f aca="false">IF(Z393&lt;&gt;"Open","",IF(L393="","",IF(L393&lt;Settings!$C$13,"OVERDUE",IF(L393&lt;=Settings!$C$13+Settings!C9,"AT RISK","OK"))))</f>
        <v/>
      </c>
      <c r="AB393" s="88" t="str">
        <f aca="false">IF(Z393&lt;&gt;"Closed","",IF(P393&gt;=Settings!$C$10,"OK","LOW"))</f>
        <v/>
      </c>
    </row>
    <row r="394" customFormat="false" ht="15" hidden="false" customHeight="true" outlineLevel="0" collapsed="false">
      <c r="M394" s="1" t="str">
        <f aca="false">IF(AND(L394&lt;&gt;"",Z394="Open"),L394-Settings!$C$13,"")</f>
        <v/>
      </c>
      <c r="N394" s="1" t="str">
        <f aca="false">IF(Z394&lt;&gt;"Open","",IF(L394="","",IF(L394&lt;Settings!$C$13,"OVERDUE",IF(L394&lt;=Settings!$C$13+Settings!C9,"AT RISK","OK"))))</f>
        <v/>
      </c>
      <c r="AB394" s="88" t="str">
        <f aca="false">IF(Z394&lt;&gt;"Closed","",IF(P394&gt;=Settings!$C$10,"OK","LOW"))</f>
        <v/>
      </c>
    </row>
    <row r="395" customFormat="false" ht="15" hidden="false" customHeight="true" outlineLevel="0" collapsed="false">
      <c r="M395" s="1" t="str">
        <f aca="false">IF(AND(L395&lt;&gt;"",Z395="Open"),L395-Settings!$C$13,"")</f>
        <v/>
      </c>
      <c r="N395" s="1" t="str">
        <f aca="false">IF(Z395&lt;&gt;"Open","",IF(L395="","",IF(L395&lt;Settings!$C$13,"OVERDUE",IF(L395&lt;=Settings!$C$13+Settings!C9,"AT RISK","OK"))))</f>
        <v/>
      </c>
      <c r="AB395" s="88" t="str">
        <f aca="false">IF(Z395&lt;&gt;"Closed","",IF(P395&gt;=Settings!$C$10,"OK","LOW"))</f>
        <v/>
      </c>
    </row>
    <row r="396" customFormat="false" ht="15" hidden="false" customHeight="true" outlineLevel="0" collapsed="false">
      <c r="M396" s="1" t="str">
        <f aca="false">IF(AND(L396&lt;&gt;"",Z396="Open"),L396-Settings!$C$13,"")</f>
        <v/>
      </c>
      <c r="N396" s="1" t="str">
        <f aca="false">IF(Z396&lt;&gt;"Open","",IF(L396="","",IF(L396&lt;Settings!$C$13,"OVERDUE",IF(L396&lt;=Settings!$C$13+Settings!C9,"AT RISK","OK"))))</f>
        <v/>
      </c>
      <c r="AB396" s="88" t="str">
        <f aca="false">IF(Z396&lt;&gt;"Closed","",IF(P396&gt;=Settings!$C$10,"OK","LOW"))</f>
        <v/>
      </c>
    </row>
    <row r="397" customFormat="false" ht="15" hidden="false" customHeight="true" outlineLevel="0" collapsed="false">
      <c r="M397" s="1" t="str">
        <f aca="false">IF(AND(L397&lt;&gt;"",Z397="Open"),L397-Settings!$C$13,"")</f>
        <v/>
      </c>
      <c r="N397" s="1" t="str">
        <f aca="false">IF(Z397&lt;&gt;"Open","",IF(L397="","",IF(L397&lt;Settings!$C$13,"OVERDUE",IF(L397&lt;=Settings!$C$13+Settings!C9,"AT RISK","OK"))))</f>
        <v/>
      </c>
      <c r="AB397" s="88" t="str">
        <f aca="false">IF(Z397&lt;&gt;"Closed","",IF(P397&gt;=Settings!$C$10,"OK","LOW"))</f>
        <v/>
      </c>
    </row>
    <row r="398" customFormat="false" ht="15" hidden="false" customHeight="true" outlineLevel="0" collapsed="false">
      <c r="M398" s="1" t="str">
        <f aca="false">IF(AND(L398&lt;&gt;"",Z398="Open"),L398-Settings!$C$13,"")</f>
        <v/>
      </c>
      <c r="N398" s="1" t="str">
        <f aca="false">IF(Z398&lt;&gt;"Open","",IF(L398="","",IF(L398&lt;Settings!$C$13,"OVERDUE",IF(L398&lt;=Settings!$C$13+Settings!C9,"AT RISK","OK"))))</f>
        <v/>
      </c>
      <c r="AB398" s="88" t="str">
        <f aca="false">IF(Z398&lt;&gt;"Closed","",IF(P398&gt;=Settings!$C$10,"OK","LOW"))</f>
        <v/>
      </c>
    </row>
    <row r="399" customFormat="false" ht="15" hidden="false" customHeight="true" outlineLevel="0" collapsed="false">
      <c r="M399" s="1" t="str">
        <f aca="false">IF(AND(L399&lt;&gt;"",Z399="Open"),L399-Settings!$C$13,"")</f>
        <v/>
      </c>
      <c r="N399" s="1" t="str">
        <f aca="false">IF(Z399&lt;&gt;"Open","",IF(L399="","",IF(L399&lt;Settings!$C$13,"OVERDUE",IF(L399&lt;=Settings!$C$13+Settings!C9,"AT RISK","OK"))))</f>
        <v/>
      </c>
      <c r="AB399" s="88" t="str">
        <f aca="false">IF(Z399&lt;&gt;"Closed","",IF(P399&gt;=Settings!$C$10,"OK","LOW"))</f>
        <v/>
      </c>
    </row>
    <row r="400" customFormat="false" ht="15" hidden="false" customHeight="true" outlineLevel="0" collapsed="false">
      <c r="M400" s="1" t="str">
        <f aca="false">IF(AND(L400&lt;&gt;"",Z400="Open"),L400-Settings!$C$13,"")</f>
        <v/>
      </c>
      <c r="N400" s="1" t="str">
        <f aca="false">IF(Z400&lt;&gt;"Open","",IF(L400="","",IF(L400&lt;Settings!$C$13,"OVERDUE",IF(L400&lt;=Settings!$C$13+Settings!C9,"AT RISK","OK"))))</f>
        <v/>
      </c>
      <c r="AB400" s="88" t="str">
        <f aca="false">IF(Z400&lt;&gt;"Closed","",IF(P400&gt;=Settings!$C$10,"OK","LOW"))</f>
        <v/>
      </c>
    </row>
    <row r="401" customFormat="false" ht="15" hidden="false" customHeight="true" outlineLevel="0" collapsed="false">
      <c r="M401" s="1" t="str">
        <f aca="false">IF(AND(L401&lt;&gt;"",Z401="Open"),L401-Settings!$C$13,"")</f>
        <v/>
      </c>
      <c r="N401" s="1" t="str">
        <f aca="false">IF(Z401&lt;&gt;"Open","",IF(L401="","",IF(L401&lt;Settings!$C$13,"OVERDUE",IF(L401&lt;=Settings!$C$13+Settings!C9,"AT RISK","OK"))))</f>
        <v/>
      </c>
      <c r="AB401" s="88" t="str">
        <f aca="false">IF(Z401&lt;&gt;"Closed","",IF(P401&gt;=Settings!$C$10,"OK","LOW"))</f>
        <v/>
      </c>
    </row>
    <row r="402" customFormat="false" ht="15" hidden="false" customHeight="true" outlineLevel="0" collapsed="false">
      <c r="M402" s="1" t="str">
        <f aca="false">IF(AND(L402&lt;&gt;"",Z402="Open"),L402-Settings!$C$13,"")</f>
        <v/>
      </c>
      <c r="N402" s="1" t="str">
        <f aca="false">IF(Z402&lt;&gt;"Open","",IF(L402="","",IF(L402&lt;Settings!$C$13,"OVERDUE",IF(L402&lt;=Settings!$C$13+Settings!C9,"AT RISK","OK"))))</f>
        <v/>
      </c>
      <c r="AB402" s="88" t="str">
        <f aca="false">IF(Z402&lt;&gt;"Closed","",IF(P402&gt;=Settings!$C$10,"OK","LOW"))</f>
        <v/>
      </c>
    </row>
    <row r="403" customFormat="false" ht="15" hidden="false" customHeight="true" outlineLevel="0" collapsed="false">
      <c r="M403" s="1" t="str">
        <f aca="false">IF(AND(L403&lt;&gt;"",Z403="Open"),L403-Settings!$C$13,"")</f>
        <v/>
      </c>
      <c r="N403" s="1" t="str">
        <f aca="false">IF(Z403&lt;&gt;"Open","",IF(L403="","",IF(L403&lt;Settings!$C$13,"OVERDUE",IF(L403&lt;=Settings!$C$13+Settings!C9,"AT RISK","OK"))))</f>
        <v/>
      </c>
      <c r="AB403" s="88" t="str">
        <f aca="false">IF(Z403&lt;&gt;"Closed","",IF(P403&gt;=Settings!$C$10,"OK","LOW"))</f>
        <v/>
      </c>
    </row>
    <row r="404" customFormat="false" ht="15" hidden="false" customHeight="true" outlineLevel="0" collapsed="false">
      <c r="M404" s="1" t="str">
        <f aca="false">IF(AND(L404&lt;&gt;"",Z404="Open"),L404-Settings!$C$13,"")</f>
        <v/>
      </c>
      <c r="N404" s="1" t="str">
        <f aca="false">IF(Z404&lt;&gt;"Open","",IF(L404="","",IF(L404&lt;Settings!$C$13,"OVERDUE",IF(L404&lt;=Settings!$C$13+Settings!C9,"AT RISK","OK"))))</f>
        <v/>
      </c>
      <c r="AB404" s="88" t="str">
        <f aca="false">IF(Z404&lt;&gt;"Closed","",IF(P404&gt;=Settings!$C$10,"OK","LOW"))</f>
        <v/>
      </c>
    </row>
    <row r="405" customFormat="false" ht="15" hidden="false" customHeight="true" outlineLevel="0" collapsed="false">
      <c r="M405" s="1" t="str">
        <f aca="false">IF(AND(L405&lt;&gt;"",Z405="Open"),L405-Settings!$C$13,"")</f>
        <v/>
      </c>
      <c r="N405" s="1" t="str">
        <f aca="false">IF(Z405&lt;&gt;"Open","",IF(L405="","",IF(L405&lt;Settings!$C$13,"OVERDUE",IF(L405&lt;=Settings!$C$13+Settings!C9,"AT RISK","OK"))))</f>
        <v/>
      </c>
      <c r="AB405" s="88" t="str">
        <f aca="false">IF(Z405&lt;&gt;"Closed","",IF(P405&gt;=Settings!$C$10,"OK","LOW"))</f>
        <v/>
      </c>
    </row>
    <row r="406" customFormat="false" ht="15" hidden="false" customHeight="true" outlineLevel="0" collapsed="false">
      <c r="M406" s="1" t="str">
        <f aca="false">IF(AND(L406&lt;&gt;"",Z406="Open"),L406-Settings!$C$13,"")</f>
        <v/>
      </c>
      <c r="N406" s="1" t="str">
        <f aca="false">IF(Z406&lt;&gt;"Open","",IF(L406="","",IF(L406&lt;Settings!$C$13,"OVERDUE",IF(L406&lt;=Settings!$C$13+Settings!C9,"AT RISK","OK"))))</f>
        <v/>
      </c>
      <c r="AB406" s="88" t="str">
        <f aca="false">IF(Z406&lt;&gt;"Closed","",IF(P406&gt;=Settings!$C$10,"OK","LOW"))</f>
        <v/>
      </c>
    </row>
    <row r="407" customFormat="false" ht="15" hidden="false" customHeight="true" outlineLevel="0" collapsed="false">
      <c r="M407" s="1" t="str">
        <f aca="false">IF(AND(L407&lt;&gt;"",Z407="Open"),L407-Settings!$C$13,"")</f>
        <v/>
      </c>
      <c r="N407" s="1" t="str">
        <f aca="false">IF(Z407&lt;&gt;"Open","",IF(L407="","",IF(L407&lt;Settings!$C$13,"OVERDUE",IF(L407&lt;=Settings!$C$13+Settings!C9,"AT RISK","OK"))))</f>
        <v/>
      </c>
      <c r="AB407" s="88" t="str">
        <f aca="false">IF(Z407&lt;&gt;"Closed","",IF(P407&gt;=Settings!$C$10,"OK","LOW"))</f>
        <v/>
      </c>
    </row>
    <row r="408" customFormat="false" ht="15" hidden="false" customHeight="true" outlineLevel="0" collapsed="false">
      <c r="M408" s="1" t="str">
        <f aca="false">IF(AND(L408&lt;&gt;"",Z408="Open"),L408-Settings!$C$13,"")</f>
        <v/>
      </c>
      <c r="N408" s="1" t="str">
        <f aca="false">IF(Z408&lt;&gt;"Open","",IF(L408="","",IF(L408&lt;Settings!$C$13,"OVERDUE",IF(L408&lt;=Settings!$C$13+Settings!C9,"AT RISK","OK"))))</f>
        <v/>
      </c>
      <c r="AB408" s="88" t="str">
        <f aca="false">IF(Z408&lt;&gt;"Closed","",IF(P408&gt;=Settings!$C$10,"OK","LOW"))</f>
        <v/>
      </c>
    </row>
    <row r="409" customFormat="false" ht="15" hidden="false" customHeight="true" outlineLevel="0" collapsed="false">
      <c r="M409" s="1" t="str">
        <f aca="false">IF(AND(L409&lt;&gt;"",Z409="Open"),L409-Settings!$C$13,"")</f>
        <v/>
      </c>
      <c r="N409" s="1" t="str">
        <f aca="false">IF(Z409&lt;&gt;"Open","",IF(L409="","",IF(L409&lt;Settings!$C$13,"OVERDUE",IF(L409&lt;=Settings!$C$13+Settings!C9,"AT RISK","OK"))))</f>
        <v/>
      </c>
      <c r="AB409" s="88" t="str">
        <f aca="false">IF(Z409&lt;&gt;"Closed","",IF(P409&gt;=Settings!$C$10,"OK","LOW"))</f>
        <v/>
      </c>
    </row>
    <row r="410" customFormat="false" ht="15" hidden="false" customHeight="true" outlineLevel="0" collapsed="false">
      <c r="M410" s="1" t="str">
        <f aca="false">IF(AND(L410&lt;&gt;"",Z410="Open"),L410-Settings!$C$13,"")</f>
        <v/>
      </c>
      <c r="N410" s="1" t="str">
        <f aca="false">IF(Z410&lt;&gt;"Open","",IF(L410="","",IF(L410&lt;Settings!$C$13,"OVERDUE",IF(L410&lt;=Settings!$C$13+Settings!C9,"AT RISK","OK"))))</f>
        <v/>
      </c>
      <c r="AB410" s="88" t="str">
        <f aca="false">IF(Z410&lt;&gt;"Closed","",IF(P410&gt;=Settings!$C$10,"OK","LOW"))</f>
        <v/>
      </c>
    </row>
    <row r="411" customFormat="false" ht="15" hidden="false" customHeight="true" outlineLevel="0" collapsed="false">
      <c r="M411" s="1" t="str">
        <f aca="false">IF(AND(L411&lt;&gt;"",Z411="Open"),L411-Settings!$C$13,"")</f>
        <v/>
      </c>
      <c r="N411" s="1" t="str">
        <f aca="false">IF(Z411&lt;&gt;"Open","",IF(L411="","",IF(L411&lt;Settings!$C$13,"OVERDUE",IF(L411&lt;=Settings!$C$13+Settings!C9,"AT RISK","OK"))))</f>
        <v/>
      </c>
      <c r="AB411" s="88" t="str">
        <f aca="false">IF(Z411&lt;&gt;"Closed","",IF(P411&gt;=Settings!$C$10,"OK","LOW"))</f>
        <v/>
      </c>
    </row>
    <row r="412" customFormat="false" ht="15" hidden="false" customHeight="true" outlineLevel="0" collapsed="false">
      <c r="M412" s="1" t="str">
        <f aca="false">IF(AND(L412&lt;&gt;"",Z412="Open"),L412-Settings!$C$13,"")</f>
        <v/>
      </c>
      <c r="N412" s="1" t="str">
        <f aca="false">IF(Z412&lt;&gt;"Open","",IF(L412="","",IF(L412&lt;Settings!$C$13,"OVERDUE",IF(L412&lt;=Settings!$C$13+Settings!C9,"AT RISK","OK"))))</f>
        <v/>
      </c>
      <c r="AB412" s="88" t="str">
        <f aca="false">IF(Z412&lt;&gt;"Closed","",IF(P412&gt;=Settings!$C$10,"OK","LOW"))</f>
        <v/>
      </c>
    </row>
    <row r="413" customFormat="false" ht="15" hidden="false" customHeight="true" outlineLevel="0" collapsed="false">
      <c r="M413" s="1" t="str">
        <f aca="false">IF(AND(L413&lt;&gt;"",Z413="Open"),L413-Settings!$C$13,"")</f>
        <v/>
      </c>
      <c r="N413" s="1" t="str">
        <f aca="false">IF(Z413&lt;&gt;"Open","",IF(L413="","",IF(L413&lt;Settings!$C$13,"OVERDUE",IF(L413&lt;=Settings!$C$13+Settings!C9,"AT RISK","OK"))))</f>
        <v/>
      </c>
      <c r="AB413" s="88" t="str">
        <f aca="false">IF(Z413&lt;&gt;"Closed","",IF(P413&gt;=Settings!$C$10,"OK","LOW"))</f>
        <v/>
      </c>
    </row>
    <row r="414" customFormat="false" ht="15" hidden="false" customHeight="true" outlineLevel="0" collapsed="false">
      <c r="M414" s="1" t="str">
        <f aca="false">IF(AND(L414&lt;&gt;"",Z414="Open"),L414-Settings!$C$13,"")</f>
        <v/>
      </c>
      <c r="N414" s="1" t="str">
        <f aca="false">IF(Z414&lt;&gt;"Open","",IF(L414="","",IF(L414&lt;Settings!$C$13,"OVERDUE",IF(L414&lt;=Settings!$C$13+Settings!C9,"AT RISK","OK"))))</f>
        <v/>
      </c>
      <c r="AB414" s="88" t="str">
        <f aca="false">IF(Z414&lt;&gt;"Closed","",IF(P414&gt;=Settings!$C$10,"OK","LOW"))</f>
        <v/>
      </c>
    </row>
    <row r="415" customFormat="false" ht="15" hidden="false" customHeight="true" outlineLevel="0" collapsed="false">
      <c r="M415" s="1" t="str">
        <f aca="false">IF(AND(L415&lt;&gt;"",Z415="Open"),L415-Settings!$C$13,"")</f>
        <v/>
      </c>
      <c r="N415" s="1" t="str">
        <f aca="false">IF(Z415&lt;&gt;"Open","",IF(L415="","",IF(L415&lt;Settings!$C$13,"OVERDUE",IF(L415&lt;=Settings!$C$13+Settings!C9,"AT RISK","OK"))))</f>
        <v/>
      </c>
      <c r="AB415" s="88" t="str">
        <f aca="false">IF(Z415&lt;&gt;"Closed","",IF(P415&gt;=Settings!$C$10,"OK","LOW"))</f>
        <v/>
      </c>
    </row>
    <row r="416" customFormat="false" ht="15" hidden="false" customHeight="true" outlineLevel="0" collapsed="false">
      <c r="M416" s="1" t="str">
        <f aca="false">IF(AND(L416&lt;&gt;"",Z416="Open"),L416-Settings!$C$13,"")</f>
        <v/>
      </c>
      <c r="N416" s="1" t="str">
        <f aca="false">IF(Z416&lt;&gt;"Open","",IF(L416="","",IF(L416&lt;Settings!$C$13,"OVERDUE",IF(L416&lt;=Settings!$C$13+Settings!C9,"AT RISK","OK"))))</f>
        <v/>
      </c>
      <c r="AB416" s="88" t="str">
        <f aca="false">IF(Z416&lt;&gt;"Closed","",IF(P416&gt;=Settings!$C$10,"OK","LOW"))</f>
        <v/>
      </c>
    </row>
    <row r="417" customFormat="false" ht="15" hidden="false" customHeight="true" outlineLevel="0" collapsed="false">
      <c r="M417" s="1" t="str">
        <f aca="false">IF(AND(L417&lt;&gt;"",Z417="Open"),L417-Settings!$C$13,"")</f>
        <v/>
      </c>
      <c r="N417" s="1" t="str">
        <f aca="false">IF(Z417&lt;&gt;"Open","",IF(L417="","",IF(L417&lt;Settings!$C$13,"OVERDUE",IF(L417&lt;=Settings!$C$13+Settings!C9,"AT RISK","OK"))))</f>
        <v/>
      </c>
      <c r="AB417" s="88" t="str">
        <f aca="false">IF(Z417&lt;&gt;"Closed","",IF(P417&gt;=Settings!$C$10,"OK","LOW"))</f>
        <v/>
      </c>
    </row>
    <row r="418" customFormat="false" ht="15" hidden="false" customHeight="true" outlineLevel="0" collapsed="false">
      <c r="M418" s="1" t="str">
        <f aca="false">IF(AND(L418&lt;&gt;"",Z418="Open"),L418-Settings!$C$13,"")</f>
        <v/>
      </c>
      <c r="N418" s="1" t="str">
        <f aca="false">IF(Z418&lt;&gt;"Open","",IF(L418="","",IF(L418&lt;Settings!$C$13,"OVERDUE",IF(L418&lt;=Settings!$C$13+Settings!C9,"AT RISK","OK"))))</f>
        <v/>
      </c>
      <c r="AB418" s="88" t="str">
        <f aca="false">IF(Z418&lt;&gt;"Closed","",IF(P418&gt;=Settings!$C$10,"OK","LOW"))</f>
        <v/>
      </c>
    </row>
    <row r="419" customFormat="false" ht="15" hidden="false" customHeight="true" outlineLevel="0" collapsed="false">
      <c r="M419" s="1" t="str">
        <f aca="false">IF(AND(L419&lt;&gt;"",Z419="Open"),L419-Settings!$C$13,"")</f>
        <v/>
      </c>
      <c r="N419" s="1" t="str">
        <f aca="false">IF(Z419&lt;&gt;"Open","",IF(L419="","",IF(L419&lt;Settings!$C$13,"OVERDUE",IF(L419&lt;=Settings!$C$13+Settings!C9,"AT RISK","OK"))))</f>
        <v/>
      </c>
      <c r="AB419" s="88" t="str">
        <f aca="false">IF(Z419&lt;&gt;"Closed","",IF(P419&gt;=Settings!$C$10,"OK","LOW"))</f>
        <v/>
      </c>
    </row>
    <row r="420" customFormat="false" ht="15" hidden="false" customHeight="true" outlineLevel="0" collapsed="false">
      <c r="M420" s="1" t="str">
        <f aca="false">IF(AND(L420&lt;&gt;"",Z420="Open"),L420-Settings!$C$13,"")</f>
        <v/>
      </c>
      <c r="N420" s="1" t="str">
        <f aca="false">IF(Z420&lt;&gt;"Open","",IF(L420="","",IF(L420&lt;Settings!$C$13,"OVERDUE",IF(L420&lt;=Settings!$C$13+Settings!C9,"AT RISK","OK"))))</f>
        <v/>
      </c>
      <c r="AB420" s="88" t="str">
        <f aca="false">IF(Z420&lt;&gt;"Closed","",IF(P420&gt;=Settings!$C$10,"OK","LOW"))</f>
        <v/>
      </c>
    </row>
    <row r="421" customFormat="false" ht="15" hidden="false" customHeight="true" outlineLevel="0" collapsed="false">
      <c r="M421" s="1" t="str">
        <f aca="false">IF(AND(L421&lt;&gt;"",Z421="Open"),L421-Settings!$C$13,"")</f>
        <v/>
      </c>
      <c r="N421" s="1" t="str">
        <f aca="false">IF(Z421&lt;&gt;"Open","",IF(L421="","",IF(L421&lt;Settings!$C$13,"OVERDUE",IF(L421&lt;=Settings!$C$13+Settings!C9,"AT RISK","OK"))))</f>
        <v/>
      </c>
      <c r="AB421" s="88" t="str">
        <f aca="false">IF(Z421&lt;&gt;"Closed","",IF(P421&gt;=Settings!$C$10,"OK","LOW"))</f>
        <v/>
      </c>
    </row>
    <row r="422" customFormat="false" ht="15" hidden="false" customHeight="true" outlineLevel="0" collapsed="false">
      <c r="M422" s="1" t="str">
        <f aca="false">IF(AND(L422&lt;&gt;"",Z422="Open"),L422-Settings!$C$13,"")</f>
        <v/>
      </c>
      <c r="N422" s="1" t="str">
        <f aca="false">IF(Z422&lt;&gt;"Open","",IF(L422="","",IF(L422&lt;Settings!$C$13,"OVERDUE",IF(L422&lt;=Settings!$C$13+Settings!C9,"AT RISK","OK"))))</f>
        <v/>
      </c>
      <c r="AB422" s="88" t="str">
        <f aca="false">IF(Z422&lt;&gt;"Closed","",IF(P422&gt;=Settings!$C$10,"OK","LOW"))</f>
        <v/>
      </c>
    </row>
    <row r="423" customFormat="false" ht="15" hidden="false" customHeight="true" outlineLevel="0" collapsed="false">
      <c r="M423" s="1" t="str">
        <f aca="false">IF(AND(L423&lt;&gt;"",Z423="Open"),L423-Settings!$C$13,"")</f>
        <v/>
      </c>
      <c r="N423" s="1" t="str">
        <f aca="false">IF(Z423&lt;&gt;"Open","",IF(L423="","",IF(L423&lt;Settings!$C$13,"OVERDUE",IF(L423&lt;=Settings!$C$13+Settings!C9,"AT RISK","OK"))))</f>
        <v/>
      </c>
      <c r="AB423" s="88" t="str">
        <f aca="false">IF(Z423&lt;&gt;"Closed","",IF(P423&gt;=Settings!$C$10,"OK","LOW"))</f>
        <v/>
      </c>
    </row>
    <row r="424" customFormat="false" ht="15" hidden="false" customHeight="true" outlineLevel="0" collapsed="false">
      <c r="M424" s="1" t="str">
        <f aca="false">IF(AND(L424&lt;&gt;"",Z424="Open"),L424-Settings!$C$13,"")</f>
        <v/>
      </c>
      <c r="N424" s="1" t="str">
        <f aca="false">IF(Z424&lt;&gt;"Open","",IF(L424="","",IF(L424&lt;Settings!$C$13,"OVERDUE",IF(L424&lt;=Settings!$C$13+Settings!C9,"AT RISK","OK"))))</f>
        <v/>
      </c>
      <c r="AB424" s="88" t="str">
        <f aca="false">IF(Z424&lt;&gt;"Closed","",IF(P424&gt;=Settings!$C$10,"OK","LOW"))</f>
        <v/>
      </c>
    </row>
    <row r="425" customFormat="false" ht="15" hidden="false" customHeight="true" outlineLevel="0" collapsed="false">
      <c r="M425" s="1" t="str">
        <f aca="false">IF(AND(L425&lt;&gt;"",Z425="Open"),L425-Settings!$C$13,"")</f>
        <v/>
      </c>
      <c r="N425" s="1" t="str">
        <f aca="false">IF(Z425&lt;&gt;"Open","",IF(L425="","",IF(L425&lt;Settings!$C$13,"OVERDUE",IF(L425&lt;=Settings!$C$13+Settings!C9,"AT RISK","OK"))))</f>
        <v/>
      </c>
      <c r="AB425" s="88" t="str">
        <f aca="false">IF(Z425&lt;&gt;"Closed","",IF(P425&gt;=Settings!$C$10,"OK","LOW"))</f>
        <v/>
      </c>
    </row>
    <row r="426" customFormat="false" ht="15" hidden="false" customHeight="true" outlineLevel="0" collapsed="false">
      <c r="M426" s="1" t="str">
        <f aca="false">IF(AND(L426&lt;&gt;"",Z426="Open"),L426-Settings!$C$13,"")</f>
        <v/>
      </c>
      <c r="N426" s="1" t="str">
        <f aca="false">IF(Z426&lt;&gt;"Open","",IF(L426="","",IF(L426&lt;Settings!$C$13,"OVERDUE",IF(L426&lt;=Settings!$C$13+Settings!C9,"AT RISK","OK"))))</f>
        <v/>
      </c>
      <c r="AB426" s="88" t="str">
        <f aca="false">IF(Z426&lt;&gt;"Closed","",IF(P426&gt;=Settings!$C$10,"OK","LOW"))</f>
        <v/>
      </c>
    </row>
    <row r="427" customFormat="false" ht="15" hidden="false" customHeight="true" outlineLevel="0" collapsed="false">
      <c r="M427" s="1" t="str">
        <f aca="false">IF(AND(L427&lt;&gt;"",Z427="Open"),L427-Settings!$C$13,"")</f>
        <v/>
      </c>
      <c r="N427" s="1" t="str">
        <f aca="false">IF(Z427&lt;&gt;"Open","",IF(L427="","",IF(L427&lt;Settings!$C$13,"OVERDUE",IF(L427&lt;=Settings!$C$13+Settings!C9,"AT RISK","OK"))))</f>
        <v/>
      </c>
      <c r="AB427" s="88" t="str">
        <f aca="false">IF(Z427&lt;&gt;"Closed","",IF(P427&gt;=Settings!$C$10,"OK","LOW"))</f>
        <v/>
      </c>
    </row>
    <row r="428" customFormat="false" ht="15" hidden="false" customHeight="true" outlineLevel="0" collapsed="false">
      <c r="M428" s="1" t="str">
        <f aca="false">IF(AND(L428&lt;&gt;"",Z428="Open"),L428-Settings!$C$13,"")</f>
        <v/>
      </c>
      <c r="N428" s="1" t="str">
        <f aca="false">IF(Z428&lt;&gt;"Open","",IF(L428="","",IF(L428&lt;Settings!$C$13,"OVERDUE",IF(L428&lt;=Settings!$C$13+Settings!C9,"AT RISK","OK"))))</f>
        <v/>
      </c>
      <c r="AB428" s="88" t="str">
        <f aca="false">IF(Z428&lt;&gt;"Closed","",IF(P428&gt;=Settings!$C$10,"OK","LOW"))</f>
        <v/>
      </c>
    </row>
    <row r="429" customFormat="false" ht="15" hidden="false" customHeight="true" outlineLevel="0" collapsed="false">
      <c r="M429" s="1" t="str">
        <f aca="false">IF(AND(L429&lt;&gt;"",Z429="Open"),L429-Settings!$C$13,"")</f>
        <v/>
      </c>
      <c r="N429" s="1" t="str">
        <f aca="false">IF(Z429&lt;&gt;"Open","",IF(L429="","",IF(L429&lt;Settings!$C$13,"OVERDUE",IF(L429&lt;=Settings!$C$13+Settings!C9,"AT RISK","OK"))))</f>
        <v/>
      </c>
      <c r="AB429" s="88" t="str">
        <f aca="false">IF(Z429&lt;&gt;"Closed","",IF(P429&gt;=Settings!$C$10,"OK","LOW"))</f>
        <v/>
      </c>
    </row>
    <row r="430" customFormat="false" ht="15" hidden="false" customHeight="true" outlineLevel="0" collapsed="false">
      <c r="M430" s="1" t="str">
        <f aca="false">IF(AND(L430&lt;&gt;"",Z430="Open"),L430-Settings!$C$13,"")</f>
        <v/>
      </c>
      <c r="N430" s="1" t="str">
        <f aca="false">IF(Z430&lt;&gt;"Open","",IF(L430="","",IF(L430&lt;Settings!$C$13,"OVERDUE",IF(L430&lt;=Settings!$C$13+Settings!C9,"AT RISK","OK"))))</f>
        <v/>
      </c>
      <c r="AB430" s="88" t="str">
        <f aca="false">IF(Z430&lt;&gt;"Closed","",IF(P430&gt;=Settings!$C$10,"OK","LOW"))</f>
        <v/>
      </c>
    </row>
    <row r="431" customFormat="false" ht="15" hidden="false" customHeight="true" outlineLevel="0" collapsed="false">
      <c r="M431" s="1" t="str">
        <f aca="false">IF(AND(L431&lt;&gt;"",Z431="Open"),L431-Settings!$C$13,"")</f>
        <v/>
      </c>
      <c r="N431" s="1" t="str">
        <f aca="false">IF(Z431&lt;&gt;"Open","",IF(L431="","",IF(L431&lt;Settings!$C$13,"OVERDUE",IF(L431&lt;=Settings!$C$13+Settings!C9,"AT RISK","OK"))))</f>
        <v/>
      </c>
      <c r="AB431" s="88" t="str">
        <f aca="false">IF(Z431&lt;&gt;"Closed","",IF(P431&gt;=Settings!$C$10,"OK","LOW"))</f>
        <v/>
      </c>
    </row>
    <row r="432" customFormat="false" ht="15" hidden="false" customHeight="true" outlineLevel="0" collapsed="false">
      <c r="M432" s="1" t="str">
        <f aca="false">IF(AND(L432&lt;&gt;"",Z432="Open"),L432-Settings!$C$13,"")</f>
        <v/>
      </c>
      <c r="N432" s="1" t="str">
        <f aca="false">IF(Z432&lt;&gt;"Open","",IF(L432="","",IF(L432&lt;Settings!$C$13,"OVERDUE",IF(L432&lt;=Settings!$C$13+Settings!C9,"AT RISK","OK"))))</f>
        <v/>
      </c>
      <c r="AB432" s="88" t="str">
        <f aca="false">IF(Z432&lt;&gt;"Closed","",IF(P432&gt;=Settings!$C$10,"OK","LOW"))</f>
        <v/>
      </c>
    </row>
    <row r="433" customFormat="false" ht="15" hidden="false" customHeight="true" outlineLevel="0" collapsed="false">
      <c r="M433" s="1" t="str">
        <f aca="false">IF(AND(L433&lt;&gt;"",Z433="Open"),L433-Settings!$C$13,"")</f>
        <v/>
      </c>
      <c r="N433" s="1" t="str">
        <f aca="false">IF(Z433&lt;&gt;"Open","",IF(L433="","",IF(L433&lt;Settings!$C$13,"OVERDUE",IF(L433&lt;=Settings!$C$13+Settings!C9,"AT RISK","OK"))))</f>
        <v/>
      </c>
      <c r="AB433" s="88" t="str">
        <f aca="false">IF(Z433&lt;&gt;"Closed","",IF(P433&gt;=Settings!$C$10,"OK","LOW"))</f>
        <v/>
      </c>
    </row>
    <row r="434" customFormat="false" ht="15" hidden="false" customHeight="true" outlineLevel="0" collapsed="false">
      <c r="M434" s="1" t="str">
        <f aca="false">IF(AND(L434&lt;&gt;"",Z434="Open"),L434-Settings!$C$13,"")</f>
        <v/>
      </c>
      <c r="N434" s="1" t="str">
        <f aca="false">IF(Z434&lt;&gt;"Open","",IF(L434="","",IF(L434&lt;Settings!$C$13,"OVERDUE",IF(L434&lt;=Settings!$C$13+Settings!C9,"AT RISK","OK"))))</f>
        <v/>
      </c>
      <c r="AB434" s="88" t="str">
        <f aca="false">IF(Z434&lt;&gt;"Closed","",IF(P434&gt;=Settings!$C$10,"OK","LOW"))</f>
        <v/>
      </c>
    </row>
    <row r="435" customFormat="false" ht="15" hidden="false" customHeight="true" outlineLevel="0" collapsed="false">
      <c r="M435" s="1" t="str">
        <f aca="false">IF(AND(L435&lt;&gt;"",Z435="Open"),L435-Settings!$C$13,"")</f>
        <v/>
      </c>
      <c r="N435" s="1" t="str">
        <f aca="false">IF(Z435&lt;&gt;"Open","",IF(L435="","",IF(L435&lt;Settings!$C$13,"OVERDUE",IF(L435&lt;=Settings!$C$13+Settings!C9,"AT RISK","OK"))))</f>
        <v/>
      </c>
      <c r="AB435" s="88" t="str">
        <f aca="false">IF(Z435&lt;&gt;"Closed","",IF(P435&gt;=Settings!$C$10,"OK","LOW"))</f>
        <v/>
      </c>
    </row>
    <row r="436" customFormat="false" ht="15" hidden="false" customHeight="true" outlineLevel="0" collapsed="false">
      <c r="M436" s="1" t="str">
        <f aca="false">IF(AND(L436&lt;&gt;"",Z436="Open"),L436-Settings!$C$13,"")</f>
        <v/>
      </c>
      <c r="N436" s="1" t="str">
        <f aca="false">IF(Z436&lt;&gt;"Open","",IF(L436="","",IF(L436&lt;Settings!$C$13,"OVERDUE",IF(L436&lt;=Settings!$C$13+Settings!C9,"AT RISK","OK"))))</f>
        <v/>
      </c>
      <c r="AB436" s="88" t="str">
        <f aca="false">IF(Z436&lt;&gt;"Closed","",IF(P436&gt;=Settings!$C$10,"OK","LOW"))</f>
        <v/>
      </c>
    </row>
    <row r="437" customFormat="false" ht="15" hidden="false" customHeight="true" outlineLevel="0" collapsed="false">
      <c r="M437" s="1" t="str">
        <f aca="false">IF(AND(L437&lt;&gt;"",Z437="Open"),L437-Settings!$C$13,"")</f>
        <v/>
      </c>
      <c r="N437" s="1" t="str">
        <f aca="false">IF(Z437&lt;&gt;"Open","",IF(L437="","",IF(L437&lt;Settings!$C$13,"OVERDUE",IF(L437&lt;=Settings!$C$13+Settings!C9,"AT RISK","OK"))))</f>
        <v/>
      </c>
      <c r="AB437" s="88" t="str">
        <f aca="false">IF(Z437&lt;&gt;"Closed","",IF(P437&gt;=Settings!$C$10,"OK","LOW"))</f>
        <v/>
      </c>
    </row>
    <row r="438" customFormat="false" ht="15" hidden="false" customHeight="true" outlineLevel="0" collapsed="false">
      <c r="M438" s="1" t="str">
        <f aca="false">IF(AND(L438&lt;&gt;"",Z438="Open"),L438-Settings!$C$13,"")</f>
        <v/>
      </c>
      <c r="N438" s="1" t="str">
        <f aca="false">IF(Z438&lt;&gt;"Open","",IF(L438="","",IF(L438&lt;Settings!$C$13,"OVERDUE",IF(L438&lt;=Settings!$C$13+Settings!C9,"AT RISK","OK"))))</f>
        <v/>
      </c>
      <c r="AB438" s="88" t="str">
        <f aca="false">IF(Z438&lt;&gt;"Closed","",IF(P438&gt;=Settings!$C$10,"OK","LOW"))</f>
        <v/>
      </c>
    </row>
    <row r="439" customFormat="false" ht="15" hidden="false" customHeight="true" outlineLevel="0" collapsed="false">
      <c r="M439" s="1" t="str">
        <f aca="false">IF(AND(L439&lt;&gt;"",Z439="Open"),L439-Settings!$C$13,"")</f>
        <v/>
      </c>
      <c r="N439" s="1" t="str">
        <f aca="false">IF(Z439&lt;&gt;"Open","",IF(L439="","",IF(L439&lt;Settings!$C$13,"OVERDUE",IF(L439&lt;=Settings!$C$13+Settings!C9,"AT RISK","OK"))))</f>
        <v/>
      </c>
      <c r="AB439" s="88" t="str">
        <f aca="false">IF(Z439&lt;&gt;"Closed","",IF(P439&gt;=Settings!$C$10,"OK","LOW"))</f>
        <v/>
      </c>
    </row>
    <row r="440" customFormat="false" ht="15" hidden="false" customHeight="true" outlineLevel="0" collapsed="false">
      <c r="M440" s="1" t="str">
        <f aca="false">IF(AND(L440&lt;&gt;"",Z440="Open"),L440-Settings!$C$13,"")</f>
        <v/>
      </c>
      <c r="N440" s="1" t="str">
        <f aca="false">IF(Z440&lt;&gt;"Open","",IF(L440="","",IF(L440&lt;Settings!$C$13,"OVERDUE",IF(L440&lt;=Settings!$C$13+Settings!C9,"AT RISK","OK"))))</f>
        <v/>
      </c>
      <c r="AB440" s="88" t="str">
        <f aca="false">IF(Z440&lt;&gt;"Closed","",IF(P440&gt;=Settings!$C$10,"OK","LOW"))</f>
        <v/>
      </c>
    </row>
    <row r="441" customFormat="false" ht="15" hidden="false" customHeight="true" outlineLevel="0" collapsed="false">
      <c r="M441" s="1" t="str">
        <f aca="false">IF(AND(L441&lt;&gt;"",Z441="Open"),L441-Settings!$C$13,"")</f>
        <v/>
      </c>
      <c r="N441" s="1" t="str">
        <f aca="false">IF(Z441&lt;&gt;"Open","",IF(L441="","",IF(L441&lt;Settings!$C$13,"OVERDUE",IF(L441&lt;=Settings!$C$13+Settings!C9,"AT RISK","OK"))))</f>
        <v/>
      </c>
      <c r="AB441" s="88" t="str">
        <f aca="false">IF(Z441&lt;&gt;"Closed","",IF(P441&gt;=Settings!$C$10,"OK","LOW"))</f>
        <v/>
      </c>
    </row>
    <row r="442" customFormat="false" ht="15" hidden="false" customHeight="true" outlineLevel="0" collapsed="false">
      <c r="M442" s="1" t="str">
        <f aca="false">IF(AND(L442&lt;&gt;"",Z442="Open"),L442-Settings!$C$13,"")</f>
        <v/>
      </c>
      <c r="N442" s="1" t="str">
        <f aca="false">IF(Z442&lt;&gt;"Open","",IF(L442="","",IF(L442&lt;Settings!$C$13,"OVERDUE",IF(L442&lt;=Settings!$C$13+Settings!C9,"AT RISK","OK"))))</f>
        <v/>
      </c>
      <c r="AB442" s="88" t="str">
        <f aca="false">IF(Z442&lt;&gt;"Closed","",IF(P442&gt;=Settings!$C$10,"OK","LOW"))</f>
        <v/>
      </c>
    </row>
    <row r="443" customFormat="false" ht="15" hidden="false" customHeight="true" outlineLevel="0" collapsed="false">
      <c r="M443" s="1" t="str">
        <f aca="false">IF(AND(L443&lt;&gt;"",Z443="Open"),L443-Settings!$C$13,"")</f>
        <v/>
      </c>
      <c r="N443" s="1" t="str">
        <f aca="false">IF(Z443&lt;&gt;"Open","",IF(L443="","",IF(L443&lt;Settings!$C$13,"OVERDUE",IF(L443&lt;=Settings!$C$13+Settings!C9,"AT RISK","OK"))))</f>
        <v/>
      </c>
      <c r="AB443" s="88" t="str">
        <f aca="false">IF(Z443&lt;&gt;"Closed","",IF(P443&gt;=Settings!$C$10,"OK","LOW"))</f>
        <v/>
      </c>
    </row>
    <row r="444" customFormat="false" ht="15" hidden="false" customHeight="true" outlineLevel="0" collapsed="false">
      <c r="M444" s="1" t="str">
        <f aca="false">IF(AND(L444&lt;&gt;"",Z444="Open"),L444-Settings!$C$13,"")</f>
        <v/>
      </c>
      <c r="N444" s="1" t="str">
        <f aca="false">IF(Z444&lt;&gt;"Open","",IF(L444="","",IF(L444&lt;Settings!$C$13,"OVERDUE",IF(L444&lt;=Settings!$C$13+Settings!C9,"AT RISK","OK"))))</f>
        <v/>
      </c>
      <c r="AB444" s="88" t="str">
        <f aca="false">IF(Z444&lt;&gt;"Closed","",IF(P444&gt;=Settings!$C$10,"OK","LOW"))</f>
        <v/>
      </c>
    </row>
    <row r="445" customFormat="false" ht="15" hidden="false" customHeight="true" outlineLevel="0" collapsed="false">
      <c r="M445" s="1" t="str">
        <f aca="false">IF(AND(L445&lt;&gt;"",Z445="Open"),L445-Settings!$C$13,"")</f>
        <v/>
      </c>
      <c r="N445" s="1" t="str">
        <f aca="false">IF(Z445&lt;&gt;"Open","",IF(L445="","",IF(L445&lt;Settings!$C$13,"OVERDUE",IF(L445&lt;=Settings!$C$13+Settings!C9,"AT RISK","OK"))))</f>
        <v/>
      </c>
      <c r="AB445" s="88" t="str">
        <f aca="false">IF(Z445&lt;&gt;"Closed","",IF(P445&gt;=Settings!$C$10,"OK","LOW"))</f>
        <v/>
      </c>
    </row>
    <row r="446" customFormat="false" ht="15" hidden="false" customHeight="true" outlineLevel="0" collapsed="false">
      <c r="M446" s="1" t="str">
        <f aca="false">IF(AND(L446&lt;&gt;"",Z446="Open"),L446-Settings!$C$13,"")</f>
        <v/>
      </c>
      <c r="N446" s="1" t="str">
        <f aca="false">IF(Z446&lt;&gt;"Open","",IF(L446="","",IF(L446&lt;Settings!$C$13,"OVERDUE",IF(L446&lt;=Settings!$C$13+Settings!C9,"AT RISK","OK"))))</f>
        <v/>
      </c>
      <c r="AB446" s="88" t="str">
        <f aca="false">IF(Z446&lt;&gt;"Closed","",IF(P446&gt;=Settings!$C$10,"OK","LOW"))</f>
        <v/>
      </c>
    </row>
    <row r="447" customFormat="false" ht="15" hidden="false" customHeight="true" outlineLevel="0" collapsed="false">
      <c r="M447" s="1" t="str">
        <f aca="false">IF(AND(L447&lt;&gt;"",Z447="Open"),L447-Settings!$C$13,"")</f>
        <v/>
      </c>
      <c r="N447" s="1" t="str">
        <f aca="false">IF(Z447&lt;&gt;"Open","",IF(L447="","",IF(L447&lt;Settings!$C$13,"OVERDUE",IF(L447&lt;=Settings!$C$13+Settings!C9,"AT RISK","OK"))))</f>
        <v/>
      </c>
      <c r="AB447" s="88" t="str">
        <f aca="false">IF(Z447&lt;&gt;"Closed","",IF(P447&gt;=Settings!$C$10,"OK","LOW"))</f>
        <v/>
      </c>
    </row>
    <row r="448" customFormat="false" ht="15" hidden="false" customHeight="true" outlineLevel="0" collapsed="false">
      <c r="M448" s="1" t="str">
        <f aca="false">IF(AND(L448&lt;&gt;"",Z448="Open"),L448-Settings!$C$13,"")</f>
        <v/>
      </c>
      <c r="N448" s="1" t="str">
        <f aca="false">IF(Z448&lt;&gt;"Open","",IF(L448="","",IF(L448&lt;Settings!$C$13,"OVERDUE",IF(L448&lt;=Settings!$C$13+Settings!C9,"AT RISK","OK"))))</f>
        <v/>
      </c>
      <c r="AB448" s="88" t="str">
        <f aca="false">IF(Z448&lt;&gt;"Closed","",IF(P448&gt;=Settings!$C$10,"OK","LOW"))</f>
        <v/>
      </c>
    </row>
    <row r="449" customFormat="false" ht="15" hidden="false" customHeight="true" outlineLevel="0" collapsed="false">
      <c r="M449" s="1" t="str">
        <f aca="false">IF(AND(L449&lt;&gt;"",Z449="Open"),L449-Settings!$C$13,"")</f>
        <v/>
      </c>
      <c r="N449" s="1" t="str">
        <f aca="false">IF(Z449&lt;&gt;"Open","",IF(L449="","",IF(L449&lt;Settings!$C$13,"OVERDUE",IF(L449&lt;=Settings!$C$13+Settings!C9,"AT RISK","OK"))))</f>
        <v/>
      </c>
      <c r="AB449" s="88" t="str">
        <f aca="false">IF(Z449&lt;&gt;"Closed","",IF(P449&gt;=Settings!$C$10,"OK","LOW"))</f>
        <v/>
      </c>
    </row>
    <row r="450" customFormat="false" ht="15" hidden="false" customHeight="true" outlineLevel="0" collapsed="false">
      <c r="M450" s="1" t="str">
        <f aca="false">IF(AND(L450&lt;&gt;"",Z450="Open"),L450-Settings!$C$13,"")</f>
        <v/>
      </c>
      <c r="N450" s="1" t="str">
        <f aca="false">IF(Z450&lt;&gt;"Open","",IF(L450="","",IF(L450&lt;Settings!$C$13,"OVERDUE",IF(L450&lt;=Settings!$C$13+Settings!C9,"AT RISK","OK"))))</f>
        <v/>
      </c>
      <c r="AB450" s="88" t="str">
        <f aca="false">IF(Z450&lt;&gt;"Closed","",IF(P450&gt;=Settings!$C$10,"OK","LOW"))</f>
        <v/>
      </c>
    </row>
    <row r="451" customFormat="false" ht="15" hidden="false" customHeight="true" outlineLevel="0" collapsed="false">
      <c r="M451" s="1" t="str">
        <f aca="false">IF(AND(L451&lt;&gt;"",Z451="Open"),L451-Settings!$C$13,"")</f>
        <v/>
      </c>
      <c r="N451" s="1" t="str">
        <f aca="false">IF(Z451&lt;&gt;"Open","",IF(L451="","",IF(L451&lt;Settings!$C$13,"OVERDUE",IF(L451&lt;=Settings!$C$13+Settings!C9,"AT RISK","OK"))))</f>
        <v/>
      </c>
      <c r="AB451" s="88" t="str">
        <f aca="false">IF(Z451&lt;&gt;"Closed","",IF(P451&gt;=Settings!$C$10,"OK","LOW"))</f>
        <v/>
      </c>
    </row>
    <row r="452" customFormat="false" ht="15" hidden="false" customHeight="true" outlineLevel="0" collapsed="false">
      <c r="M452" s="1" t="str">
        <f aca="false">IF(AND(L452&lt;&gt;"",Z452="Open"),L452-Settings!$C$13,"")</f>
        <v/>
      </c>
      <c r="N452" s="1" t="str">
        <f aca="false">IF(Z452&lt;&gt;"Open","",IF(L452="","",IF(L452&lt;Settings!$C$13,"OVERDUE",IF(L452&lt;=Settings!$C$13+Settings!C9,"AT RISK","OK"))))</f>
        <v/>
      </c>
      <c r="AB452" s="88" t="str">
        <f aca="false">IF(Z452&lt;&gt;"Closed","",IF(P452&gt;=Settings!$C$10,"OK","LOW"))</f>
        <v/>
      </c>
    </row>
    <row r="453" customFormat="false" ht="15" hidden="false" customHeight="true" outlineLevel="0" collapsed="false">
      <c r="M453" s="1" t="str">
        <f aca="false">IF(AND(L453&lt;&gt;"",Z453="Open"),L453-Settings!$C$13,"")</f>
        <v/>
      </c>
      <c r="N453" s="1" t="str">
        <f aca="false">IF(Z453&lt;&gt;"Open","",IF(L453="","",IF(L453&lt;Settings!$C$13,"OVERDUE",IF(L453&lt;=Settings!$C$13+Settings!C9,"AT RISK","OK"))))</f>
        <v/>
      </c>
      <c r="AB453" s="88" t="str">
        <f aca="false">IF(Z453&lt;&gt;"Closed","",IF(P453&gt;=Settings!$C$10,"OK","LOW"))</f>
        <v/>
      </c>
    </row>
    <row r="454" customFormat="false" ht="15" hidden="false" customHeight="true" outlineLevel="0" collapsed="false">
      <c r="M454" s="1" t="str">
        <f aca="false">IF(AND(L454&lt;&gt;"",Z454="Open"),L454-Settings!$C$13,"")</f>
        <v/>
      </c>
      <c r="N454" s="1" t="str">
        <f aca="false">IF(Z454&lt;&gt;"Open","",IF(L454="","",IF(L454&lt;Settings!$C$13,"OVERDUE",IF(L454&lt;=Settings!$C$13+Settings!C9,"AT RISK","OK"))))</f>
        <v/>
      </c>
      <c r="AB454" s="88" t="str">
        <f aca="false">IF(Z454&lt;&gt;"Closed","",IF(P454&gt;=Settings!$C$10,"OK","LOW"))</f>
        <v/>
      </c>
    </row>
    <row r="455" customFormat="false" ht="15" hidden="false" customHeight="true" outlineLevel="0" collapsed="false">
      <c r="M455" s="1" t="str">
        <f aca="false">IF(AND(L455&lt;&gt;"",Z455="Open"),L455-Settings!$C$13,"")</f>
        <v/>
      </c>
      <c r="N455" s="1" t="str">
        <f aca="false">IF(Z455&lt;&gt;"Open","",IF(L455="","",IF(L455&lt;Settings!$C$13,"OVERDUE",IF(L455&lt;=Settings!$C$13+Settings!C9,"AT RISK","OK"))))</f>
        <v/>
      </c>
      <c r="AB455" s="88" t="str">
        <f aca="false">IF(Z455&lt;&gt;"Closed","",IF(P455&gt;=Settings!$C$10,"OK","LOW"))</f>
        <v/>
      </c>
    </row>
    <row r="456" customFormat="false" ht="15" hidden="false" customHeight="true" outlineLevel="0" collapsed="false">
      <c r="M456" s="1" t="str">
        <f aca="false">IF(AND(L456&lt;&gt;"",Z456="Open"),L456-Settings!$C$13,"")</f>
        <v/>
      </c>
      <c r="N456" s="1" t="str">
        <f aca="false">IF(Z456&lt;&gt;"Open","",IF(L456="","",IF(L456&lt;Settings!$C$13,"OVERDUE",IF(L456&lt;=Settings!$C$13+Settings!C9,"AT RISK","OK"))))</f>
        <v/>
      </c>
      <c r="AB456" s="88" t="str">
        <f aca="false">IF(Z456&lt;&gt;"Closed","",IF(P456&gt;=Settings!$C$10,"OK","LOW"))</f>
        <v/>
      </c>
    </row>
    <row r="457" customFormat="false" ht="15" hidden="false" customHeight="true" outlineLevel="0" collapsed="false">
      <c r="M457" s="1" t="str">
        <f aca="false">IF(AND(L457&lt;&gt;"",Z457="Open"),L457-Settings!$C$13,"")</f>
        <v/>
      </c>
      <c r="N457" s="1" t="str">
        <f aca="false">IF(Z457&lt;&gt;"Open","",IF(L457="","",IF(L457&lt;Settings!$C$13,"OVERDUE",IF(L457&lt;=Settings!$C$13+Settings!C9,"AT RISK","OK"))))</f>
        <v/>
      </c>
      <c r="AB457" s="88" t="str">
        <f aca="false">IF(Z457&lt;&gt;"Closed","",IF(P457&gt;=Settings!$C$10,"OK","LOW"))</f>
        <v/>
      </c>
    </row>
    <row r="458" customFormat="false" ht="15" hidden="false" customHeight="true" outlineLevel="0" collapsed="false">
      <c r="M458" s="1" t="str">
        <f aca="false">IF(AND(L458&lt;&gt;"",Z458="Open"),L458-Settings!$C$13,"")</f>
        <v/>
      </c>
      <c r="N458" s="1" t="str">
        <f aca="false">IF(Z458&lt;&gt;"Open","",IF(L458="","",IF(L458&lt;Settings!$C$13,"OVERDUE",IF(L458&lt;=Settings!$C$13+Settings!C9,"AT RISK","OK"))))</f>
        <v/>
      </c>
      <c r="AB458" s="88" t="str">
        <f aca="false">IF(Z458&lt;&gt;"Closed","",IF(P458&gt;=Settings!$C$10,"OK","LOW"))</f>
        <v/>
      </c>
    </row>
    <row r="459" customFormat="false" ht="15" hidden="false" customHeight="true" outlineLevel="0" collapsed="false">
      <c r="M459" s="1" t="str">
        <f aca="false">IF(AND(L459&lt;&gt;"",Z459="Open"),L459-Settings!$C$13,"")</f>
        <v/>
      </c>
      <c r="N459" s="1" t="str">
        <f aca="false">IF(Z459&lt;&gt;"Open","",IF(L459="","",IF(L459&lt;Settings!$C$13,"OVERDUE",IF(L459&lt;=Settings!$C$13+Settings!C9,"AT RISK","OK"))))</f>
        <v/>
      </c>
      <c r="AB459" s="88" t="str">
        <f aca="false">IF(Z459&lt;&gt;"Closed","",IF(P459&gt;=Settings!$C$10,"OK","LOW"))</f>
        <v/>
      </c>
    </row>
    <row r="460" customFormat="false" ht="15" hidden="false" customHeight="true" outlineLevel="0" collapsed="false">
      <c r="M460" s="1" t="str">
        <f aca="false">IF(AND(L460&lt;&gt;"",Z460="Open"),L460-Settings!$C$13,"")</f>
        <v/>
      </c>
      <c r="N460" s="1" t="str">
        <f aca="false">IF(Z460&lt;&gt;"Open","",IF(L460="","",IF(L460&lt;Settings!$C$13,"OVERDUE",IF(L460&lt;=Settings!$C$13+Settings!C9,"AT RISK","OK"))))</f>
        <v/>
      </c>
      <c r="AB460" s="88" t="str">
        <f aca="false">IF(Z460&lt;&gt;"Closed","",IF(P460&gt;=Settings!$C$10,"OK","LOW"))</f>
        <v/>
      </c>
    </row>
    <row r="461" customFormat="false" ht="15" hidden="false" customHeight="true" outlineLevel="0" collapsed="false">
      <c r="M461" s="1" t="str">
        <f aca="false">IF(AND(L461&lt;&gt;"",Z461="Open"),L461-Settings!$C$13,"")</f>
        <v/>
      </c>
      <c r="N461" s="1" t="str">
        <f aca="false">IF(Z461&lt;&gt;"Open","",IF(L461="","",IF(L461&lt;Settings!$C$13,"OVERDUE",IF(L461&lt;=Settings!$C$13+Settings!C9,"AT RISK","OK"))))</f>
        <v/>
      </c>
      <c r="AB461" s="88" t="str">
        <f aca="false">IF(Z461&lt;&gt;"Closed","",IF(P461&gt;=Settings!$C$10,"OK","LOW"))</f>
        <v/>
      </c>
    </row>
    <row r="462" customFormat="false" ht="15" hidden="false" customHeight="true" outlineLevel="0" collapsed="false">
      <c r="M462" s="1" t="str">
        <f aca="false">IF(AND(L462&lt;&gt;"",Z462="Open"),L462-Settings!$C$13,"")</f>
        <v/>
      </c>
      <c r="N462" s="1" t="str">
        <f aca="false">IF(Z462&lt;&gt;"Open","",IF(L462="","",IF(L462&lt;Settings!$C$13,"OVERDUE",IF(L462&lt;=Settings!$C$13+Settings!C9,"AT RISK","OK"))))</f>
        <v/>
      </c>
      <c r="AB462" s="88" t="str">
        <f aca="false">IF(Z462&lt;&gt;"Closed","",IF(P462&gt;=Settings!$C$10,"OK","LOW"))</f>
        <v/>
      </c>
    </row>
    <row r="463" customFormat="false" ht="15" hidden="false" customHeight="true" outlineLevel="0" collapsed="false">
      <c r="M463" s="1" t="str">
        <f aca="false">IF(AND(L463&lt;&gt;"",Z463="Open"),L463-Settings!$C$13,"")</f>
        <v/>
      </c>
      <c r="N463" s="1" t="str">
        <f aca="false">IF(Z463&lt;&gt;"Open","",IF(L463="","",IF(L463&lt;Settings!$C$13,"OVERDUE",IF(L463&lt;=Settings!$C$13+Settings!C9,"AT RISK","OK"))))</f>
        <v/>
      </c>
      <c r="AB463" s="88" t="str">
        <f aca="false">IF(Z463&lt;&gt;"Closed","",IF(P463&gt;=Settings!$C$10,"OK","LOW"))</f>
        <v/>
      </c>
    </row>
    <row r="464" customFormat="false" ht="15" hidden="false" customHeight="true" outlineLevel="0" collapsed="false">
      <c r="M464" s="1" t="str">
        <f aca="false">IF(AND(L464&lt;&gt;"",Z464="Open"),L464-Settings!$C$13,"")</f>
        <v/>
      </c>
      <c r="N464" s="1" t="str">
        <f aca="false">IF(Z464&lt;&gt;"Open","",IF(L464="","",IF(L464&lt;Settings!$C$13,"OVERDUE",IF(L464&lt;=Settings!$C$13+Settings!C9,"AT RISK","OK"))))</f>
        <v/>
      </c>
      <c r="AB464" s="88" t="str">
        <f aca="false">IF(Z464&lt;&gt;"Closed","",IF(P464&gt;=Settings!$C$10,"OK","LOW"))</f>
        <v/>
      </c>
    </row>
    <row r="465" customFormat="false" ht="15" hidden="false" customHeight="true" outlineLevel="0" collapsed="false">
      <c r="M465" s="1" t="str">
        <f aca="false">IF(AND(L465&lt;&gt;"",Z465="Open"),L465-Settings!$C$13,"")</f>
        <v/>
      </c>
      <c r="N465" s="1" t="str">
        <f aca="false">IF(Z465&lt;&gt;"Open","",IF(L465="","",IF(L465&lt;Settings!$C$13,"OVERDUE",IF(L465&lt;=Settings!$C$13+Settings!C9,"AT RISK","OK"))))</f>
        <v/>
      </c>
      <c r="AB465" s="88" t="str">
        <f aca="false">IF(Z465&lt;&gt;"Closed","",IF(P465&gt;=Settings!$C$10,"OK","LOW"))</f>
        <v/>
      </c>
    </row>
    <row r="466" customFormat="false" ht="15" hidden="false" customHeight="true" outlineLevel="0" collapsed="false">
      <c r="M466" s="1" t="str">
        <f aca="false">IF(AND(L466&lt;&gt;"",Z466="Open"),L466-Settings!$C$13,"")</f>
        <v/>
      </c>
      <c r="N466" s="1" t="str">
        <f aca="false">IF(Z466&lt;&gt;"Open","",IF(L466="","",IF(L466&lt;Settings!$C$13,"OVERDUE",IF(L466&lt;=Settings!$C$13+Settings!C9,"AT RISK","OK"))))</f>
        <v/>
      </c>
      <c r="AB466" s="88" t="str">
        <f aca="false">IF(Z466&lt;&gt;"Closed","",IF(P466&gt;=Settings!$C$10,"OK","LOW"))</f>
        <v/>
      </c>
    </row>
    <row r="467" customFormat="false" ht="15" hidden="false" customHeight="true" outlineLevel="0" collapsed="false">
      <c r="M467" s="1" t="str">
        <f aca="false">IF(AND(L467&lt;&gt;"",Z467="Open"),L467-Settings!$C$13,"")</f>
        <v/>
      </c>
      <c r="N467" s="1" t="str">
        <f aca="false">IF(Z467&lt;&gt;"Open","",IF(L467="","",IF(L467&lt;Settings!$C$13,"OVERDUE",IF(L467&lt;=Settings!$C$13+Settings!C9,"AT RISK","OK"))))</f>
        <v/>
      </c>
      <c r="AB467" s="88" t="str">
        <f aca="false">IF(Z467&lt;&gt;"Closed","",IF(P467&gt;=Settings!$C$10,"OK","LOW"))</f>
        <v/>
      </c>
    </row>
    <row r="468" customFormat="false" ht="15" hidden="false" customHeight="true" outlineLevel="0" collapsed="false">
      <c r="M468" s="1" t="str">
        <f aca="false">IF(AND(L468&lt;&gt;"",Z468="Open"),L468-Settings!$C$13,"")</f>
        <v/>
      </c>
      <c r="N468" s="1" t="str">
        <f aca="false">IF(Z468&lt;&gt;"Open","",IF(L468="","",IF(L468&lt;Settings!$C$13,"OVERDUE",IF(L468&lt;=Settings!$C$13+Settings!C9,"AT RISK","OK"))))</f>
        <v/>
      </c>
      <c r="AB468" s="88" t="str">
        <f aca="false">IF(Z468&lt;&gt;"Closed","",IF(P468&gt;=Settings!$C$10,"OK","LOW"))</f>
        <v/>
      </c>
    </row>
    <row r="469" customFormat="false" ht="15" hidden="false" customHeight="true" outlineLevel="0" collapsed="false">
      <c r="M469" s="1" t="str">
        <f aca="false">IF(AND(L469&lt;&gt;"",Z469="Open"),L469-Settings!$C$13,"")</f>
        <v/>
      </c>
      <c r="N469" s="1" t="str">
        <f aca="false">IF(Z469&lt;&gt;"Open","",IF(L469="","",IF(L469&lt;Settings!$C$13,"OVERDUE",IF(L469&lt;=Settings!$C$13+Settings!C9,"AT RISK","OK"))))</f>
        <v/>
      </c>
      <c r="AB469" s="88" t="str">
        <f aca="false">IF(Z469&lt;&gt;"Closed","",IF(P469&gt;=Settings!$C$10,"OK","LOW"))</f>
        <v/>
      </c>
    </row>
    <row r="470" customFormat="false" ht="15" hidden="false" customHeight="true" outlineLevel="0" collapsed="false">
      <c r="M470" s="1" t="str">
        <f aca="false">IF(AND(L470&lt;&gt;"",Z470="Open"),L470-Settings!$C$13,"")</f>
        <v/>
      </c>
      <c r="N470" s="1" t="str">
        <f aca="false">IF(Z470&lt;&gt;"Open","",IF(L470="","",IF(L470&lt;Settings!$C$13,"OVERDUE",IF(L470&lt;=Settings!$C$13+Settings!C9,"AT RISK","OK"))))</f>
        <v/>
      </c>
      <c r="AB470" s="88" t="str">
        <f aca="false">IF(Z470&lt;&gt;"Closed","",IF(P470&gt;=Settings!$C$10,"OK","LOW"))</f>
        <v/>
      </c>
    </row>
    <row r="471" customFormat="false" ht="15" hidden="false" customHeight="true" outlineLevel="0" collapsed="false">
      <c r="M471" s="1" t="str">
        <f aca="false">IF(AND(L471&lt;&gt;"",Z471="Open"),L471-Settings!$C$13,"")</f>
        <v/>
      </c>
      <c r="N471" s="1" t="str">
        <f aca="false">IF(Z471&lt;&gt;"Open","",IF(L471="","",IF(L471&lt;Settings!$C$13,"OVERDUE",IF(L471&lt;=Settings!$C$13+Settings!C9,"AT RISK","OK"))))</f>
        <v/>
      </c>
      <c r="AB471" s="88" t="str">
        <f aca="false">IF(Z471&lt;&gt;"Closed","",IF(P471&gt;=Settings!$C$10,"OK","LOW"))</f>
        <v/>
      </c>
    </row>
    <row r="472" customFormat="false" ht="15" hidden="false" customHeight="true" outlineLevel="0" collapsed="false">
      <c r="M472" s="1" t="str">
        <f aca="false">IF(AND(L472&lt;&gt;"",Z472="Open"),L472-Settings!$C$13,"")</f>
        <v/>
      </c>
      <c r="N472" s="1" t="str">
        <f aca="false">IF(Z472&lt;&gt;"Open","",IF(L472="","",IF(L472&lt;Settings!$C$13,"OVERDUE",IF(L472&lt;=Settings!$C$13+Settings!C9,"AT RISK","OK"))))</f>
        <v/>
      </c>
      <c r="AB472" s="88" t="str">
        <f aca="false">IF(Z472&lt;&gt;"Closed","",IF(P472&gt;=Settings!$C$10,"OK","LOW"))</f>
        <v/>
      </c>
    </row>
    <row r="473" customFormat="false" ht="15" hidden="false" customHeight="true" outlineLevel="0" collapsed="false">
      <c r="M473" s="1" t="str">
        <f aca="false">IF(AND(L473&lt;&gt;"",Z473="Open"),L473-Settings!$C$13,"")</f>
        <v/>
      </c>
      <c r="N473" s="1" t="str">
        <f aca="false">IF(Z473&lt;&gt;"Open","",IF(L473="","",IF(L473&lt;Settings!$C$13,"OVERDUE",IF(L473&lt;=Settings!$C$13+Settings!C9,"AT RISK","OK"))))</f>
        <v/>
      </c>
      <c r="AB473" s="88" t="str">
        <f aca="false">IF(Z473&lt;&gt;"Closed","",IF(P473&gt;=Settings!$C$10,"OK","LOW"))</f>
        <v/>
      </c>
    </row>
    <row r="474" customFormat="false" ht="15" hidden="false" customHeight="true" outlineLevel="0" collapsed="false">
      <c r="M474" s="1" t="str">
        <f aca="false">IF(AND(L474&lt;&gt;"",Z474="Open"),L474-Settings!$C$13,"")</f>
        <v/>
      </c>
      <c r="N474" s="1" t="str">
        <f aca="false">IF(Z474&lt;&gt;"Open","",IF(L474="","",IF(L474&lt;Settings!$C$13,"OVERDUE",IF(L474&lt;=Settings!$C$13+Settings!C9,"AT RISK","OK"))))</f>
        <v/>
      </c>
      <c r="AB474" s="88" t="str">
        <f aca="false">IF(Z474&lt;&gt;"Closed","",IF(P474&gt;=Settings!$C$10,"OK","LOW"))</f>
        <v/>
      </c>
    </row>
    <row r="475" customFormat="false" ht="15" hidden="false" customHeight="true" outlineLevel="0" collapsed="false">
      <c r="M475" s="1" t="str">
        <f aca="false">IF(AND(L475&lt;&gt;"",Z475="Open"),L475-Settings!$C$13,"")</f>
        <v/>
      </c>
      <c r="N475" s="1" t="str">
        <f aca="false">IF(Z475&lt;&gt;"Open","",IF(L475="","",IF(L475&lt;Settings!$C$13,"OVERDUE",IF(L475&lt;=Settings!$C$13+Settings!C9,"AT RISK","OK"))))</f>
        <v/>
      </c>
      <c r="AB475" s="88" t="str">
        <f aca="false">IF(Z475&lt;&gt;"Closed","",IF(P475&gt;=Settings!$C$10,"OK","LOW"))</f>
        <v/>
      </c>
    </row>
    <row r="476" customFormat="false" ht="15" hidden="false" customHeight="true" outlineLevel="0" collapsed="false">
      <c r="M476" s="1" t="str">
        <f aca="false">IF(AND(L476&lt;&gt;"",Z476="Open"),L476-Settings!$C$13,"")</f>
        <v/>
      </c>
      <c r="N476" s="1" t="str">
        <f aca="false">IF(Z476&lt;&gt;"Open","",IF(L476="","",IF(L476&lt;Settings!$C$13,"OVERDUE",IF(L476&lt;=Settings!$C$13+Settings!C9,"AT RISK","OK"))))</f>
        <v/>
      </c>
      <c r="AB476" s="88" t="str">
        <f aca="false">IF(Z476&lt;&gt;"Closed","",IF(P476&gt;=Settings!$C$10,"OK","LOW"))</f>
        <v/>
      </c>
    </row>
    <row r="477" customFormat="false" ht="15" hidden="false" customHeight="true" outlineLevel="0" collapsed="false">
      <c r="M477" s="1" t="str">
        <f aca="false">IF(AND(L477&lt;&gt;"",Z477="Open"),L477-Settings!$C$13,"")</f>
        <v/>
      </c>
      <c r="N477" s="1" t="str">
        <f aca="false">IF(Z477&lt;&gt;"Open","",IF(L477="","",IF(L477&lt;Settings!$C$13,"OVERDUE",IF(L477&lt;=Settings!$C$13+Settings!C9,"AT RISK","OK"))))</f>
        <v/>
      </c>
      <c r="AB477" s="88" t="str">
        <f aca="false">IF(Z477&lt;&gt;"Closed","",IF(P477&gt;=Settings!$C$10,"OK","LOW"))</f>
        <v/>
      </c>
    </row>
    <row r="478" customFormat="false" ht="15" hidden="false" customHeight="true" outlineLevel="0" collapsed="false">
      <c r="M478" s="1" t="str">
        <f aca="false">IF(AND(L478&lt;&gt;"",Z478="Open"),L478-Settings!$C$13,"")</f>
        <v/>
      </c>
      <c r="N478" s="1" t="str">
        <f aca="false">IF(Z478&lt;&gt;"Open","",IF(L478="","",IF(L478&lt;Settings!$C$13,"OVERDUE",IF(L478&lt;=Settings!$C$13+Settings!C9,"AT RISK","OK"))))</f>
        <v/>
      </c>
      <c r="AB478" s="88" t="str">
        <f aca="false">IF(Z478&lt;&gt;"Closed","",IF(P478&gt;=Settings!$C$10,"OK","LOW"))</f>
        <v/>
      </c>
    </row>
    <row r="479" customFormat="false" ht="15" hidden="false" customHeight="true" outlineLevel="0" collapsed="false">
      <c r="M479" s="1" t="str">
        <f aca="false">IF(AND(L479&lt;&gt;"",Z479="Open"),L479-Settings!$C$13,"")</f>
        <v/>
      </c>
      <c r="N479" s="1" t="str">
        <f aca="false">IF(Z479&lt;&gt;"Open","",IF(L479="","",IF(L479&lt;Settings!$C$13,"OVERDUE",IF(L479&lt;=Settings!$C$13+Settings!C9,"AT RISK","OK"))))</f>
        <v/>
      </c>
      <c r="AB479" s="88" t="str">
        <f aca="false">IF(Z479&lt;&gt;"Closed","",IF(P479&gt;=Settings!$C$10,"OK","LOW"))</f>
        <v/>
      </c>
    </row>
    <row r="480" customFormat="false" ht="15" hidden="false" customHeight="true" outlineLevel="0" collapsed="false">
      <c r="M480" s="1" t="str">
        <f aca="false">IF(AND(L480&lt;&gt;"",Z480="Open"),L480-Settings!$C$13,"")</f>
        <v/>
      </c>
      <c r="N480" s="1" t="str">
        <f aca="false">IF(Z480&lt;&gt;"Open","",IF(L480="","",IF(L480&lt;Settings!$C$13,"OVERDUE",IF(L480&lt;=Settings!$C$13+Settings!C9,"AT RISK","OK"))))</f>
        <v/>
      </c>
      <c r="AB480" s="88" t="str">
        <f aca="false">IF(Z480&lt;&gt;"Closed","",IF(P480&gt;=Settings!$C$10,"OK","LOW"))</f>
        <v/>
      </c>
    </row>
    <row r="481" customFormat="false" ht="15" hidden="false" customHeight="true" outlineLevel="0" collapsed="false">
      <c r="M481" s="1" t="str">
        <f aca="false">IF(AND(L481&lt;&gt;"",Z481="Open"),L481-Settings!$C$13,"")</f>
        <v/>
      </c>
      <c r="N481" s="1" t="str">
        <f aca="false">IF(Z481&lt;&gt;"Open","",IF(L481="","",IF(L481&lt;Settings!$C$13,"OVERDUE",IF(L481&lt;=Settings!$C$13+Settings!C9,"AT RISK","OK"))))</f>
        <v/>
      </c>
      <c r="AB481" s="88" t="str">
        <f aca="false">IF(Z481&lt;&gt;"Closed","",IF(P481&gt;=Settings!$C$10,"OK","LOW"))</f>
        <v/>
      </c>
    </row>
    <row r="482" customFormat="false" ht="15" hidden="false" customHeight="true" outlineLevel="0" collapsed="false">
      <c r="M482" s="1" t="str">
        <f aca="false">IF(AND(L482&lt;&gt;"",Z482="Open"),L482-Settings!$C$13,"")</f>
        <v/>
      </c>
      <c r="N482" s="1" t="str">
        <f aca="false">IF(Z482&lt;&gt;"Open","",IF(L482="","",IF(L482&lt;Settings!$C$13,"OVERDUE",IF(L482&lt;=Settings!$C$13+Settings!C9,"AT RISK","OK"))))</f>
        <v/>
      </c>
      <c r="AB482" s="88" t="str">
        <f aca="false">IF(Z482&lt;&gt;"Closed","",IF(P482&gt;=Settings!$C$10,"OK","LOW"))</f>
        <v/>
      </c>
    </row>
    <row r="483" customFormat="false" ht="15" hidden="false" customHeight="true" outlineLevel="0" collapsed="false">
      <c r="M483" s="1" t="str">
        <f aca="false">IF(AND(L483&lt;&gt;"",Z483="Open"),L483-Settings!$C$13,"")</f>
        <v/>
      </c>
      <c r="N483" s="1" t="str">
        <f aca="false">IF(Z483&lt;&gt;"Open","",IF(L483="","",IF(L483&lt;Settings!$C$13,"OVERDUE",IF(L483&lt;=Settings!$C$13+Settings!C9,"AT RISK","OK"))))</f>
        <v/>
      </c>
      <c r="AB483" s="88" t="str">
        <f aca="false">IF(Z483&lt;&gt;"Closed","",IF(P483&gt;=Settings!$C$10,"OK","LOW"))</f>
        <v/>
      </c>
    </row>
    <row r="484" customFormat="false" ht="15" hidden="false" customHeight="true" outlineLevel="0" collapsed="false">
      <c r="M484" s="1" t="str">
        <f aca="false">IF(AND(L484&lt;&gt;"",Z484="Open"),L484-Settings!$C$13,"")</f>
        <v/>
      </c>
      <c r="N484" s="1" t="str">
        <f aca="false">IF(Z484&lt;&gt;"Open","",IF(L484="","",IF(L484&lt;Settings!$C$13,"OVERDUE",IF(L484&lt;=Settings!$C$13+Settings!C9,"AT RISK","OK"))))</f>
        <v/>
      </c>
      <c r="AB484" s="88" t="str">
        <f aca="false">IF(Z484&lt;&gt;"Closed","",IF(P484&gt;=Settings!$C$10,"OK","LOW"))</f>
        <v/>
      </c>
    </row>
    <row r="485" customFormat="false" ht="15" hidden="false" customHeight="true" outlineLevel="0" collapsed="false">
      <c r="M485" s="1" t="str">
        <f aca="false">IF(AND(L485&lt;&gt;"",Z485="Open"),L485-Settings!$C$13,"")</f>
        <v/>
      </c>
      <c r="N485" s="1" t="str">
        <f aca="false">IF(Z485&lt;&gt;"Open","",IF(L485="","",IF(L485&lt;Settings!$C$13,"OVERDUE",IF(L485&lt;=Settings!$C$13+Settings!C9,"AT RISK","OK"))))</f>
        <v/>
      </c>
      <c r="AB485" s="88" t="str">
        <f aca="false">IF(Z485&lt;&gt;"Closed","",IF(P485&gt;=Settings!$C$10,"OK","LOW"))</f>
        <v/>
      </c>
    </row>
    <row r="486" customFormat="false" ht="15" hidden="false" customHeight="true" outlineLevel="0" collapsed="false">
      <c r="M486" s="1" t="str">
        <f aca="false">IF(AND(L486&lt;&gt;"",Z486="Open"),L486-Settings!$C$13,"")</f>
        <v/>
      </c>
      <c r="N486" s="1" t="str">
        <f aca="false">IF(Z486&lt;&gt;"Open","",IF(L486="","",IF(L486&lt;Settings!$C$13,"OVERDUE",IF(L486&lt;=Settings!$C$13+Settings!C9,"AT RISK","OK"))))</f>
        <v/>
      </c>
      <c r="AB486" s="88" t="str">
        <f aca="false">IF(Z486&lt;&gt;"Closed","",IF(P486&gt;=Settings!$C$10,"OK","LOW"))</f>
        <v/>
      </c>
    </row>
    <row r="487" customFormat="false" ht="15" hidden="false" customHeight="true" outlineLevel="0" collapsed="false">
      <c r="M487" s="1" t="str">
        <f aca="false">IF(AND(L487&lt;&gt;"",Z487="Open"),L487-Settings!$C$13,"")</f>
        <v/>
      </c>
      <c r="N487" s="1" t="str">
        <f aca="false">IF(Z487&lt;&gt;"Open","",IF(L487="","",IF(L487&lt;Settings!$C$13,"OVERDUE",IF(L487&lt;=Settings!$C$13+Settings!C9,"AT RISK","OK"))))</f>
        <v/>
      </c>
      <c r="AB487" s="88" t="str">
        <f aca="false">IF(Z487&lt;&gt;"Closed","",IF(P487&gt;=Settings!$C$10,"OK","LOW"))</f>
        <v/>
      </c>
    </row>
    <row r="488" customFormat="false" ht="15" hidden="false" customHeight="true" outlineLevel="0" collapsed="false">
      <c r="M488" s="1" t="str">
        <f aca="false">IF(AND(L488&lt;&gt;"",Z488="Open"),L488-Settings!$C$13,"")</f>
        <v/>
      </c>
      <c r="N488" s="1" t="str">
        <f aca="false">IF(Z488&lt;&gt;"Open","",IF(L488="","",IF(L488&lt;Settings!$C$13,"OVERDUE",IF(L488&lt;=Settings!$C$13+Settings!C9,"AT RISK","OK"))))</f>
        <v/>
      </c>
      <c r="AB488" s="88" t="str">
        <f aca="false">IF(Z488&lt;&gt;"Closed","",IF(P488&gt;=Settings!$C$10,"OK","LOW"))</f>
        <v/>
      </c>
    </row>
    <row r="489" customFormat="false" ht="15" hidden="false" customHeight="true" outlineLevel="0" collapsed="false">
      <c r="M489" s="1" t="str">
        <f aca="false">IF(AND(L489&lt;&gt;"",Z489="Open"),L489-Settings!$C$13,"")</f>
        <v/>
      </c>
      <c r="N489" s="1" t="str">
        <f aca="false">IF(Z489&lt;&gt;"Open","",IF(L489="","",IF(L489&lt;Settings!$C$13,"OVERDUE",IF(L489&lt;=Settings!$C$13+Settings!C9,"AT RISK","OK"))))</f>
        <v/>
      </c>
      <c r="AB489" s="88" t="str">
        <f aca="false">IF(Z489&lt;&gt;"Closed","",IF(P489&gt;=Settings!$C$10,"OK","LOW"))</f>
        <v/>
      </c>
    </row>
    <row r="490" customFormat="false" ht="15" hidden="false" customHeight="true" outlineLevel="0" collapsed="false">
      <c r="M490" s="1" t="str">
        <f aca="false">IF(AND(L490&lt;&gt;"",Z490="Open"),L490-Settings!$C$13,"")</f>
        <v/>
      </c>
      <c r="N490" s="1" t="str">
        <f aca="false">IF(Z490&lt;&gt;"Open","",IF(L490="","",IF(L490&lt;Settings!$C$13,"OVERDUE",IF(L490&lt;=Settings!$C$13+Settings!C9,"AT RISK","OK"))))</f>
        <v/>
      </c>
      <c r="AB490" s="88" t="str">
        <f aca="false">IF(Z490&lt;&gt;"Closed","",IF(P490&gt;=Settings!$C$10,"OK","LOW"))</f>
        <v/>
      </c>
    </row>
    <row r="491" customFormat="false" ht="15" hidden="false" customHeight="true" outlineLevel="0" collapsed="false">
      <c r="M491" s="1" t="str">
        <f aca="false">IF(AND(L491&lt;&gt;"",Z491="Open"),L491-Settings!$C$13,"")</f>
        <v/>
      </c>
      <c r="N491" s="1" t="str">
        <f aca="false">IF(Z491&lt;&gt;"Open","",IF(L491="","",IF(L491&lt;Settings!$C$13,"OVERDUE",IF(L491&lt;=Settings!$C$13+Settings!C9,"AT RISK","OK"))))</f>
        <v/>
      </c>
      <c r="AB491" s="88" t="str">
        <f aca="false">IF(Z491&lt;&gt;"Closed","",IF(P491&gt;=Settings!$C$10,"OK","LOW"))</f>
        <v/>
      </c>
    </row>
    <row r="492" customFormat="false" ht="15" hidden="false" customHeight="true" outlineLevel="0" collapsed="false">
      <c r="M492" s="1" t="str">
        <f aca="false">IF(AND(L492&lt;&gt;"",Z492="Open"),L492-Settings!$C$13,"")</f>
        <v/>
      </c>
      <c r="N492" s="1" t="str">
        <f aca="false">IF(Z492&lt;&gt;"Open","",IF(L492="","",IF(L492&lt;Settings!$C$13,"OVERDUE",IF(L492&lt;=Settings!$C$13+Settings!C9,"AT RISK","OK"))))</f>
        <v/>
      </c>
      <c r="AB492" s="88" t="str">
        <f aca="false">IF(Z492&lt;&gt;"Closed","",IF(P492&gt;=Settings!$C$10,"OK","LOW"))</f>
        <v/>
      </c>
    </row>
    <row r="493" customFormat="false" ht="15" hidden="false" customHeight="true" outlineLevel="0" collapsed="false">
      <c r="M493" s="1" t="str">
        <f aca="false">IF(AND(L493&lt;&gt;"",Z493="Open"),L493-Settings!$C$13,"")</f>
        <v/>
      </c>
      <c r="N493" s="1" t="str">
        <f aca="false">IF(Z493&lt;&gt;"Open","",IF(L493="","",IF(L493&lt;Settings!$C$13,"OVERDUE",IF(L493&lt;=Settings!$C$13+Settings!C9,"AT RISK","OK"))))</f>
        <v/>
      </c>
      <c r="AB493" s="88" t="str">
        <f aca="false">IF(Z493&lt;&gt;"Closed","",IF(P493&gt;=Settings!$C$10,"OK","LOW"))</f>
        <v/>
      </c>
    </row>
    <row r="494" customFormat="false" ht="15" hidden="false" customHeight="true" outlineLevel="0" collapsed="false">
      <c r="M494" s="1" t="str">
        <f aca="false">IF(AND(L494&lt;&gt;"",Z494="Open"),L494-Settings!$C$13,"")</f>
        <v/>
      </c>
      <c r="N494" s="1" t="str">
        <f aca="false">IF(Z494&lt;&gt;"Open","",IF(L494="","",IF(L494&lt;Settings!$C$13,"OVERDUE",IF(L494&lt;=Settings!$C$13+Settings!C9,"AT RISK","OK"))))</f>
        <v/>
      </c>
      <c r="AB494" s="88" t="str">
        <f aca="false">IF(Z494&lt;&gt;"Closed","",IF(P494&gt;=Settings!$C$10,"OK","LOW"))</f>
        <v/>
      </c>
    </row>
    <row r="495" customFormat="false" ht="15" hidden="false" customHeight="true" outlineLevel="0" collapsed="false">
      <c r="M495" s="1" t="str">
        <f aca="false">IF(AND(L495&lt;&gt;"",Z495="Open"),L495-Settings!$C$13,"")</f>
        <v/>
      </c>
      <c r="N495" s="1" t="str">
        <f aca="false">IF(Z495&lt;&gt;"Open","",IF(L495="","",IF(L495&lt;Settings!$C$13,"OVERDUE",IF(L495&lt;=Settings!$C$13+Settings!C9,"AT RISK","OK"))))</f>
        <v/>
      </c>
      <c r="AB495" s="88" t="str">
        <f aca="false">IF(Z495&lt;&gt;"Closed","",IF(P495&gt;=Settings!$C$10,"OK","LOW"))</f>
        <v/>
      </c>
    </row>
    <row r="496" customFormat="false" ht="15" hidden="false" customHeight="true" outlineLevel="0" collapsed="false">
      <c r="M496" s="1" t="str">
        <f aca="false">IF(AND(L496&lt;&gt;"",Z496="Open"),L496-Settings!$C$13,"")</f>
        <v/>
      </c>
      <c r="N496" s="1" t="str">
        <f aca="false">IF(Z496&lt;&gt;"Open","",IF(L496="","",IF(L496&lt;Settings!$C$13,"OVERDUE",IF(L496&lt;=Settings!$C$13+Settings!C9,"AT RISK","OK"))))</f>
        <v/>
      </c>
      <c r="AB496" s="88" t="str">
        <f aca="false">IF(Z496&lt;&gt;"Closed","",IF(P496&gt;=Settings!$C$10,"OK","LOW"))</f>
        <v/>
      </c>
    </row>
    <row r="497" customFormat="false" ht="15" hidden="false" customHeight="true" outlineLevel="0" collapsed="false">
      <c r="M497" s="1" t="str">
        <f aca="false">IF(AND(L497&lt;&gt;"",Z497="Open"),L497-Settings!$C$13,"")</f>
        <v/>
      </c>
      <c r="N497" s="1" t="str">
        <f aca="false">IF(Z497&lt;&gt;"Open","",IF(L497="","",IF(L497&lt;Settings!$C$13,"OVERDUE",IF(L497&lt;=Settings!$C$13+Settings!C9,"AT RISK","OK"))))</f>
        <v/>
      </c>
      <c r="AB497" s="88" t="str">
        <f aca="false">IF(Z497&lt;&gt;"Closed","",IF(P497&gt;=Settings!$C$10,"OK","LOW"))</f>
        <v/>
      </c>
    </row>
    <row r="498" customFormat="false" ht="15" hidden="false" customHeight="true" outlineLevel="0" collapsed="false">
      <c r="M498" s="1" t="str">
        <f aca="false">IF(AND(L498&lt;&gt;"",Z498="Open"),L498-Settings!$C$13,"")</f>
        <v/>
      </c>
      <c r="N498" s="1" t="str">
        <f aca="false">IF(Z498&lt;&gt;"Open","",IF(L498="","",IF(L498&lt;Settings!$C$13,"OVERDUE",IF(L498&lt;=Settings!$C$13+Settings!C9,"AT RISK","OK"))))</f>
        <v/>
      </c>
      <c r="AB498" s="88" t="str">
        <f aca="false">IF(Z498&lt;&gt;"Closed","",IF(P498&gt;=Settings!$C$10,"OK","LOW"))</f>
        <v/>
      </c>
    </row>
    <row r="499" customFormat="false" ht="15" hidden="false" customHeight="true" outlineLevel="0" collapsed="false">
      <c r="M499" s="1" t="str">
        <f aca="false">IF(AND(L499&lt;&gt;"",Z499="Open"),L499-Settings!$C$13,"")</f>
        <v/>
      </c>
      <c r="N499" s="1" t="str">
        <f aca="false">IF(Z499&lt;&gt;"Open","",IF(L499="","",IF(L499&lt;Settings!$C$13,"OVERDUE",IF(L499&lt;=Settings!$C$13+Settings!C9,"AT RISK","OK"))))</f>
        <v/>
      </c>
      <c r="AB499" s="88" t="str">
        <f aca="false">IF(Z499&lt;&gt;"Closed","",IF(P499&gt;=Settings!$C$10,"OK","LOW"))</f>
        <v/>
      </c>
    </row>
    <row r="500" customFormat="false" ht="15" hidden="false" customHeight="true" outlineLevel="0" collapsed="false">
      <c r="M500" s="1" t="str">
        <f aca="false">IF(AND(L500&lt;&gt;"",Z500="Open"),L500-Settings!$C$13,"")</f>
        <v/>
      </c>
      <c r="N500" s="1" t="str">
        <f aca="false">IF(Z500&lt;&gt;"Open","",IF(L500="","",IF(L500&lt;Settings!$C$13,"OVERDUE",IF(L500&lt;=Settings!$C$13+Settings!C9,"AT RISK","OK"))))</f>
        <v/>
      </c>
      <c r="AB500" s="88" t="str">
        <f aca="false">IF(Z500&lt;&gt;"Closed","",IF(P500&gt;=Settings!$C$10,"OK","LOW"))</f>
        <v/>
      </c>
    </row>
    <row r="501" customFormat="false" ht="15" hidden="false" customHeight="true" outlineLevel="0" collapsed="false">
      <c r="M501" s="1" t="str">
        <f aca="false">IF(AND(L501&lt;&gt;"",Z501="Open"),L501-Settings!$C$13,"")</f>
        <v/>
      </c>
      <c r="N501" s="1" t="str">
        <f aca="false">IF(Z501&lt;&gt;"Open","",IF(L501="","",IF(L501&lt;Settings!$C$13,"OVERDUE",IF(L501&lt;=Settings!$C$13+Settings!C9,"AT RISK","OK"))))</f>
        <v/>
      </c>
      <c r="AB501" s="88" t="str">
        <f aca="false">IF(Z501&lt;&gt;"Closed","",IF(P501&gt;=Settings!$C$10,"OK","LOW"))</f>
        <v/>
      </c>
    </row>
    <row r="502" customFormat="false" ht="15" hidden="false" customHeight="true" outlineLevel="0" collapsed="false">
      <c r="M502" s="1" t="str">
        <f aca="false">IF(AND(L502&lt;&gt;"",Z502="Open"),L502-Settings!$C$13,"")</f>
        <v/>
      </c>
      <c r="N502" s="1" t="str">
        <f aca="false">IF(Z502&lt;&gt;"Open","",IF(L502="","",IF(L502&lt;Settings!$C$13,"OVERDUE",IF(L502&lt;=Settings!$C$13+Settings!C9,"AT RISK","OK"))))</f>
        <v/>
      </c>
      <c r="AB502" s="88" t="str">
        <f aca="false">IF(Z502&lt;&gt;"Closed","",IF(P502&gt;=Settings!$C$10,"OK","LOW"))</f>
        <v/>
      </c>
    </row>
    <row r="503" customFormat="false" ht="15" hidden="false" customHeight="true" outlineLevel="0" collapsed="false">
      <c r="M503" s="1" t="str">
        <f aca="false">IF(AND(L503&lt;&gt;"",Z503="Open"),L503-Settings!$C$13,"")</f>
        <v/>
      </c>
      <c r="N503" s="1" t="str">
        <f aca="false">IF(Z503&lt;&gt;"Open","",IF(L503="","",IF(L503&lt;Settings!$C$13,"OVERDUE",IF(L503&lt;=Settings!$C$13+Settings!C9,"AT RISK","OK"))))</f>
        <v/>
      </c>
      <c r="AB503" s="88" t="str">
        <f aca="false">IF(Z503&lt;&gt;"Closed","",IF(P503&gt;=Settings!$C$10,"OK","LOW"))</f>
        <v/>
      </c>
    </row>
    <row r="504" customFormat="false" ht="15" hidden="false" customHeight="true" outlineLevel="0" collapsed="false">
      <c r="M504" s="1" t="str">
        <f aca="false">IF(AND(L504&lt;&gt;"",Z504="Open"),L504-Settings!$C$13,"")</f>
        <v/>
      </c>
      <c r="N504" s="1" t="str">
        <f aca="false">IF(Z504&lt;&gt;"Open","",IF(L504="","",IF(L504&lt;Settings!$C$13,"OVERDUE",IF(L504&lt;=Settings!$C$13+Settings!C9,"AT RISK","OK"))))</f>
        <v/>
      </c>
      <c r="AB504" s="88" t="str">
        <f aca="false">IF(Z504&lt;&gt;"Closed","",IF(P504&gt;=Settings!$C$10,"OK","LOW"))</f>
        <v/>
      </c>
    </row>
    <row r="505" customFormat="false" ht="15" hidden="false" customHeight="true" outlineLevel="0" collapsed="false">
      <c r="M505" s="1" t="str">
        <f aca="false">IF(AND(L505&lt;&gt;"",Z505="Open"),L505-Settings!$C$13,"")</f>
        <v/>
      </c>
      <c r="N505" s="1" t="str">
        <f aca="false">IF(Z505&lt;&gt;"Open","",IF(L505="","",IF(L505&lt;Settings!$C$13,"OVERDUE",IF(L505&lt;=Settings!$C$13+Settings!C9,"AT RISK","OK"))))</f>
        <v/>
      </c>
      <c r="AB505" s="88" t="str">
        <f aca="false">IF(Z505&lt;&gt;"Closed","",IF(P505&gt;=Settings!$C$10,"OK","LOW"))</f>
        <v/>
      </c>
    </row>
    <row r="506" customFormat="false" ht="15" hidden="false" customHeight="true" outlineLevel="0" collapsed="false">
      <c r="M506" s="1" t="str">
        <f aca="false">IF(AND(L506&lt;&gt;"",Z506="Open"),L506-Settings!$C$13,"")</f>
        <v/>
      </c>
      <c r="N506" s="1" t="str">
        <f aca="false">IF(Z506&lt;&gt;"Open","",IF(L506="","",IF(L506&lt;Settings!$C$13,"OVERDUE",IF(L506&lt;=Settings!$C$13+Settings!C9,"AT RISK","OK"))))</f>
        <v/>
      </c>
      <c r="AB506" s="88" t="str">
        <f aca="false">IF(Z506&lt;&gt;"Closed","",IF(P506&gt;=Settings!$C$10,"OK","LOW"))</f>
        <v/>
      </c>
    </row>
    <row r="507" customFormat="false" ht="15" hidden="false" customHeight="true" outlineLevel="0" collapsed="false">
      <c r="M507" s="1" t="str">
        <f aca="false">IF(AND(L507&lt;&gt;"",Z507="Open"),L507-Settings!$C$13,"")</f>
        <v/>
      </c>
      <c r="N507" s="1" t="str">
        <f aca="false">IF(Z507&lt;&gt;"Open","",IF(L507="","",IF(L507&lt;Settings!$C$13,"OVERDUE",IF(L507&lt;=Settings!$C$13+Settings!C9,"AT RISK","OK"))))</f>
        <v/>
      </c>
      <c r="AB507" s="88" t="str">
        <f aca="false">IF(Z507&lt;&gt;"Closed","",IF(P507&gt;=Settings!$C$10,"OK","LOW"))</f>
        <v/>
      </c>
    </row>
    <row r="508" customFormat="false" ht="15" hidden="false" customHeight="true" outlineLevel="0" collapsed="false">
      <c r="M508" s="1" t="str">
        <f aca="false">IF(AND(L508&lt;&gt;"",Z508="Open"),L508-Settings!$C$13,"")</f>
        <v/>
      </c>
      <c r="N508" s="1" t="str">
        <f aca="false">IF(Z508&lt;&gt;"Open","",IF(L508="","",IF(L508&lt;Settings!$C$13,"OVERDUE",IF(L508&lt;=Settings!$C$13+Settings!C9,"AT RISK","OK"))))</f>
        <v/>
      </c>
      <c r="AB508" s="88" t="str">
        <f aca="false">IF(Z508&lt;&gt;"Closed","",IF(P508&gt;=Settings!$C$10,"OK","LOW"))</f>
        <v/>
      </c>
    </row>
    <row r="509" customFormat="false" ht="15" hidden="false" customHeight="true" outlineLevel="0" collapsed="false">
      <c r="M509" s="1" t="str">
        <f aca="false">IF(AND(L509&lt;&gt;"",Z509="Open"),L509-Settings!$C$13,"")</f>
        <v/>
      </c>
      <c r="N509" s="1" t="str">
        <f aca="false">IF(Z509&lt;&gt;"Open","",IF(L509="","",IF(L509&lt;Settings!$C$13,"OVERDUE",IF(L509&lt;=Settings!$C$13+Settings!C9,"AT RISK","OK"))))</f>
        <v/>
      </c>
      <c r="AB509" s="88" t="str">
        <f aca="false">IF(Z509&lt;&gt;"Closed","",IF(P509&gt;=Settings!$C$10,"OK","LOW"))</f>
        <v/>
      </c>
    </row>
    <row r="510" customFormat="false" ht="15" hidden="false" customHeight="true" outlineLevel="0" collapsed="false">
      <c r="M510" s="1" t="str">
        <f aca="false">IF(AND(L510&lt;&gt;"",Z510="Open"),L510-Settings!$C$13,"")</f>
        <v/>
      </c>
      <c r="N510" s="1" t="str">
        <f aca="false">IF(Z510&lt;&gt;"Open","",IF(L510="","",IF(L510&lt;Settings!$C$13,"OVERDUE",IF(L510&lt;=Settings!$C$13+Settings!C9,"AT RISK","OK"))))</f>
        <v/>
      </c>
      <c r="AB510" s="88" t="str">
        <f aca="false">IF(Z510&lt;&gt;"Closed","",IF(P510&gt;=Settings!$C$10,"OK","LOW"))</f>
        <v/>
      </c>
    </row>
    <row r="511" customFormat="false" ht="15" hidden="false" customHeight="true" outlineLevel="0" collapsed="false">
      <c r="M511" s="1" t="str">
        <f aca="false">IF(AND(L511&lt;&gt;"",Z511="Open"),L511-Settings!$C$13,"")</f>
        <v/>
      </c>
      <c r="N511" s="1" t="str">
        <f aca="false">IF(Z511&lt;&gt;"Open","",IF(L511="","",IF(L511&lt;Settings!$C$13,"OVERDUE",IF(L511&lt;=Settings!$C$13+Settings!C9,"AT RISK","OK"))))</f>
        <v/>
      </c>
      <c r="AB511" s="88" t="str">
        <f aca="false">IF(Z511&lt;&gt;"Closed","",IF(P511&gt;=Settings!$C$10,"OK","LOW"))</f>
        <v/>
      </c>
    </row>
  </sheetData>
  <autoFilter ref="B11:AB71"/>
  <mergeCells count="35">
    <mergeCell ref="B2:AA2"/>
    <mergeCell ref="B4:C4"/>
    <mergeCell ref="D4:E4"/>
    <mergeCell ref="F4:G4"/>
    <mergeCell ref="H4:I4"/>
    <mergeCell ref="J4:K4"/>
    <mergeCell ref="L4:M4"/>
    <mergeCell ref="N4:O4"/>
    <mergeCell ref="B5:C5"/>
    <mergeCell ref="D5:E5"/>
    <mergeCell ref="F5:G5"/>
    <mergeCell ref="H5:I5"/>
    <mergeCell ref="J5:K5"/>
    <mergeCell ref="L5:M5"/>
    <mergeCell ref="N5:O5"/>
    <mergeCell ref="B7:C7"/>
    <mergeCell ref="D7:E7"/>
    <mergeCell ref="F7:G7"/>
    <mergeCell ref="H7:I7"/>
    <mergeCell ref="J7:K7"/>
    <mergeCell ref="L7:M7"/>
    <mergeCell ref="N7:O7"/>
    <mergeCell ref="B8:C8"/>
    <mergeCell ref="D8:E8"/>
    <mergeCell ref="F8:G8"/>
    <mergeCell ref="H8:I8"/>
    <mergeCell ref="J8:K8"/>
    <mergeCell ref="L8:M8"/>
    <mergeCell ref="N8:O8"/>
    <mergeCell ref="B314:AA314"/>
    <mergeCell ref="B315:AA315"/>
    <mergeCell ref="B316:AA316"/>
    <mergeCell ref="B317:AA317"/>
    <mergeCell ref="B318:AA318"/>
    <mergeCell ref="B319:AA319"/>
  </mergeCells>
  <conditionalFormatting sqref="B12:AA311">
    <cfRule type="expression" priority="2" aboveAverage="0" equalAverage="0" bottom="0" percent="0" rank="0" text="" dxfId="16">
      <formula>AND($H12="Critical",$Z12="Open")</formula>
    </cfRule>
    <cfRule type="expression" priority="3" aboveAverage="0" equalAverage="0" bottom="0" percent="0" rank="0" text="" dxfId="17">
      <formula>AND($Z12="Open",$L12&lt;TODAY(),$L12&lt;&gt;"")</formula>
    </cfRule>
    <cfRule type="expression" priority="4" aboveAverage="0" equalAverage="0" bottom="0" percent="0" rank="0" text="" dxfId="18">
      <formula>AND($Z12="Open",$L12&gt;=""&amp;TODAY(),$L12&lt;=(TODAY()+Settings!C9),$L12&lt;&gt;"")</formula>
    </cfRule>
    <cfRule type="expression" priority="5" aboveAverage="0" equalAverage="0" bottom="0" percent="0" rank="0" text="" dxfId="19">
      <formula>AND($Z12="Open",$O12="N",$L12&gt;TODAY())</formula>
    </cfRule>
    <cfRule type="expression" priority="6" aboveAverage="0" equalAverage="0" bottom="0" percent="0" rank="0" text="" dxfId="20">
      <formula>AND($Z12="Closed",$C12&lt;&gt;"")</formula>
    </cfRule>
    <cfRule type="expression" priority="7" aboveAverage="0" equalAverage="0" bottom="0" percent="0" rank="0" text="" dxfId="21">
      <formula>AND($Z12="Cancelled",$C12&lt;&gt;"")</formula>
    </cfRule>
  </conditionalFormatting>
  <conditionalFormatting sqref="U12:U311">
    <cfRule type="dataBar" priority="8">
      <dataBar showValue="1" minLength="10" maxLength="90">
        <cfvo type="num" val="0"/>
        <cfvo type="num" val="0.25"/>
        <color rgb="FF2980B9"/>
      </dataBar>
      <extLst>
        <ext xmlns:x14="http://schemas.microsoft.com/office/spreadsheetml/2009/9/main" uri="{B025F937-C7B1-47D3-B67F-A62EFF666E3E}">
          <x14:id>{E9E04695-1F16-45BA-9F7B-521079B1A268}</x14:id>
        </ext>
      </extLst>
    </cfRule>
  </conditionalFormatting>
  <dataValidations count="5">
    <dataValidation allowBlank="true" errorStyle="stop" operator="between" showDropDown="false" showErrorMessage="false" showInputMessage="false" sqref="O12:O511" type="list">
      <formula1>"Y,N"</formula1>
      <formula2>0</formula2>
    </dataValidation>
    <dataValidation allowBlank="true" error="Please select a valid priority level" errorStyle="stop" errorTitle="Invalid Priority" operator="between" prompt="Select priority: Critical, High, Medium, Low" promptTitle="Priority" showDropDown="false" showErrorMessage="false" showInputMessage="false" sqref="H12:H511" type="list">
      <formula1>"Critical,High,Medium,Low"</formula1>
      <formula2>0</formula2>
    </dataValidation>
    <dataValidation allowBlank="true" error="Enter Y or N" errorStyle="stop" errorTitle="Invalid Entry" operator="between" showDropDown="false" showErrorMessage="false" showInputMessage="false" sqref="I12:I511" type="list">
      <formula1>"Y,N"</formula1>
      <formula2>0</formula2>
    </dataValidation>
    <dataValidation allowBlank="true" error="Please select a valid status" errorStyle="stop" errorTitle="Invalid Status" operator="between" prompt="Select status: Open, Closed, Cancelled, On Hold" promptTitle="Status" showDropDown="false" showErrorMessage="false" showInputMessage="false" sqref="Z12:Z511" type="list">
      <formula1>"Open,Closed,Cancelled,On Hold"</formula1>
      <formula2>0</formula2>
    </dataValidation>
    <dataValidation allowBlank="true" error="Please select a valid commodity code" errorStyle="stop" errorTitle="Invalid Commodity" operator="between" showDropDown="false" showErrorMessage="false" showInputMessage="false" sqref="G12:G511" type="list">
      <formula1>"Machined Parts,Fasteners,Composites,Bearings,Raw Material,Actuation,Forgings,Seals/Gaskets,Castings,Electrical,Fluid Systems,Landing Gear,Avionics,Sensors,Mechanical"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9E04695-1F16-45BA-9F7B-521079B1A268}">
            <x14:dataBar minLength="10" maxLength="90" axisPosition="none" gradient="true">
              <x14:cfvo type="num">
                <xm:f>0</xm:f>
              </x14:cfvo>
              <x14:cfvo type="num">
                <xm:f>0.25</xm:f>
              </x14:cfvo>
              <x14:negativeFillColor rgb="FF2980B9"/>
              <x14:axisColor rgb="FF000000"/>
            </x14:dataBar>
          </x14:cfRule>
          <xm:sqref>U12:U311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16A085"/>
    <pageSetUpPr fitToPage="false"/>
  </sheetPr>
  <dimension ref="B2:I30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3"/>
    <col collapsed="false" customWidth="true" hidden="false" outlineLevel="0" max="2" min="2" style="1" width="18"/>
    <col collapsed="false" customWidth="true" hidden="false" outlineLevel="0" max="3" min="3" style="1" width="5"/>
    <col collapsed="false" customWidth="true" hidden="false" outlineLevel="0" max="8" min="4" style="1" width="22"/>
    <col collapsed="false" customWidth="true" hidden="false" outlineLevel="0" max="9" min="9" style="1" width="18"/>
  </cols>
  <sheetData>
    <row r="2" customFormat="false" ht="37.5" hidden="false" customHeight="true" outlineLevel="0" collapsed="false">
      <c r="B2" s="102" t="s">
        <v>389</v>
      </c>
      <c r="C2" s="102"/>
      <c r="D2" s="102"/>
      <c r="E2" s="102"/>
      <c r="F2" s="102"/>
      <c r="G2" s="102"/>
      <c r="H2" s="102"/>
      <c r="I2" s="102"/>
    </row>
    <row r="4" customFormat="false" ht="18" hidden="false" customHeight="true" outlineLevel="0" collapsed="false">
      <c r="B4" s="103" t="s">
        <v>390</v>
      </c>
      <c r="C4" s="103"/>
      <c r="D4" s="103"/>
      <c r="E4" s="103"/>
      <c r="F4" s="103"/>
      <c r="G4" s="103"/>
      <c r="H4" s="103"/>
      <c r="I4" s="103"/>
    </row>
    <row r="6" customFormat="false" ht="19.5" hidden="false" customHeight="true" outlineLevel="0" collapsed="false">
      <c r="B6" s="104" t="s">
        <v>391</v>
      </c>
      <c r="C6" s="105" t="s">
        <v>121</v>
      </c>
      <c r="D6" s="105"/>
      <c r="E6" s="105"/>
      <c r="F6" s="104" t="s">
        <v>392</v>
      </c>
      <c r="G6" s="105" t="s">
        <v>122</v>
      </c>
      <c r="H6" s="105"/>
      <c r="I6" s="105"/>
    </row>
    <row r="7" customFormat="false" ht="19.5" hidden="false" customHeight="true" outlineLevel="0" collapsed="false">
      <c r="B7" s="104" t="s">
        <v>393</v>
      </c>
      <c r="C7" s="105" t="s">
        <v>123</v>
      </c>
      <c r="D7" s="105"/>
      <c r="E7" s="105"/>
      <c r="F7" s="104" t="s">
        <v>394</v>
      </c>
      <c r="G7" s="105" t="s">
        <v>124</v>
      </c>
      <c r="H7" s="105"/>
      <c r="I7" s="105"/>
    </row>
    <row r="8" customFormat="false" ht="19.5" hidden="false" customHeight="true" outlineLevel="0" collapsed="false">
      <c r="B8" s="104" t="s">
        <v>395</v>
      </c>
      <c r="C8" s="106" t="n">
        <v>90000</v>
      </c>
      <c r="D8" s="106"/>
      <c r="E8" s="106"/>
      <c r="F8" s="104" t="s">
        <v>396</v>
      </c>
      <c r="G8" s="107" t="n">
        <v>46053</v>
      </c>
      <c r="H8" s="107"/>
      <c r="I8" s="107"/>
    </row>
    <row r="9" customFormat="false" ht="19.5" hidden="false" customHeight="true" outlineLevel="0" collapsed="false">
      <c r="B9" s="104" t="s">
        <v>397</v>
      </c>
      <c r="C9" s="105" t="s">
        <v>65</v>
      </c>
      <c r="D9" s="105"/>
      <c r="E9" s="105"/>
      <c r="F9" s="104" t="s">
        <v>398</v>
      </c>
      <c r="G9" s="107" t="n">
        <v>46088</v>
      </c>
      <c r="H9" s="107"/>
      <c r="I9" s="107"/>
    </row>
    <row r="11" customFormat="false" ht="30" hidden="false" customHeight="true" outlineLevel="0" collapsed="false">
      <c r="B11" s="108" t="s">
        <v>399</v>
      </c>
      <c r="C11" s="108"/>
      <c r="D11" s="109" t="s">
        <v>400</v>
      </c>
      <c r="E11" s="109" t="s">
        <v>401</v>
      </c>
      <c r="F11" s="109" t="s">
        <v>402</v>
      </c>
      <c r="G11" s="109" t="s">
        <v>403</v>
      </c>
      <c r="H11" s="109" t="s">
        <v>404</v>
      </c>
      <c r="I11" s="108" t="s">
        <v>405</v>
      </c>
    </row>
    <row r="12" customFormat="false" ht="24" hidden="false" customHeight="true" outlineLevel="0" collapsed="false">
      <c r="B12" s="110" t="s">
        <v>406</v>
      </c>
      <c r="C12" s="110"/>
      <c r="D12" s="111" t="s">
        <v>126</v>
      </c>
      <c r="E12" s="111" t="s">
        <v>229</v>
      </c>
      <c r="F12" s="111"/>
      <c r="G12" s="111"/>
      <c r="H12" s="111"/>
    </row>
    <row r="13" customFormat="false" ht="19.5" hidden="false" customHeight="true" outlineLevel="0" collapsed="false">
      <c r="B13" s="112" t="s">
        <v>407</v>
      </c>
      <c r="C13" s="112"/>
      <c r="D13" s="113" t="n">
        <v>88500</v>
      </c>
      <c r="E13" s="113" t="n">
        <v>94200</v>
      </c>
      <c r="F13" s="114"/>
      <c r="G13" s="114"/>
      <c r="H13" s="114"/>
      <c r="I13" s="115"/>
    </row>
    <row r="14" customFormat="false" ht="19.5" hidden="false" customHeight="true" outlineLevel="0" collapsed="false">
      <c r="B14" s="116" t="s">
        <v>408</v>
      </c>
      <c r="C14" s="116"/>
      <c r="D14" s="91" t="s">
        <v>409</v>
      </c>
      <c r="E14" s="91" t="s">
        <v>410</v>
      </c>
      <c r="F14" s="91"/>
      <c r="G14" s="91"/>
      <c r="H14" s="91"/>
      <c r="I14" s="117"/>
    </row>
    <row r="15" customFormat="false" ht="19.5" hidden="false" customHeight="true" outlineLevel="0" collapsed="false">
      <c r="B15" s="112" t="s">
        <v>411</v>
      </c>
      <c r="C15" s="112"/>
      <c r="D15" s="114" t="s">
        <v>412</v>
      </c>
      <c r="E15" s="114" t="s">
        <v>412</v>
      </c>
      <c r="F15" s="114"/>
      <c r="G15" s="114"/>
      <c r="H15" s="114"/>
      <c r="I15" s="115"/>
    </row>
    <row r="16" customFormat="false" ht="19.5" hidden="false" customHeight="true" outlineLevel="0" collapsed="false">
      <c r="B16" s="116" t="s">
        <v>413</v>
      </c>
      <c r="C16" s="116"/>
      <c r="D16" s="91" t="s">
        <v>111</v>
      </c>
      <c r="E16" s="91" t="s">
        <v>111</v>
      </c>
      <c r="F16" s="91"/>
      <c r="G16" s="91"/>
      <c r="H16" s="91"/>
      <c r="I16" s="117"/>
    </row>
    <row r="17" customFormat="false" ht="19.5" hidden="false" customHeight="true" outlineLevel="0" collapsed="false">
      <c r="B17" s="112" t="s">
        <v>414</v>
      </c>
      <c r="C17" s="112"/>
      <c r="D17" s="114" t="s">
        <v>415</v>
      </c>
      <c r="E17" s="114" t="s">
        <v>416</v>
      </c>
      <c r="F17" s="114"/>
      <c r="G17" s="114"/>
      <c r="H17" s="114"/>
      <c r="I17" s="115"/>
    </row>
    <row r="18" customFormat="false" ht="19.5" hidden="false" customHeight="true" outlineLevel="0" collapsed="false">
      <c r="B18" s="116" t="s">
        <v>417</v>
      </c>
      <c r="C18" s="116"/>
      <c r="D18" s="91" t="s">
        <v>418</v>
      </c>
      <c r="E18" s="91" t="s">
        <v>419</v>
      </c>
      <c r="F18" s="91"/>
      <c r="G18" s="91"/>
      <c r="H18" s="91"/>
      <c r="I18" s="117"/>
    </row>
    <row r="19" customFormat="false" ht="19.5" hidden="false" customHeight="true" outlineLevel="0" collapsed="false">
      <c r="B19" s="112" t="s">
        <v>420</v>
      </c>
      <c r="C19" s="112"/>
      <c r="D19" s="114" t="s">
        <v>421</v>
      </c>
      <c r="E19" s="114" t="s">
        <v>421</v>
      </c>
      <c r="F19" s="114"/>
      <c r="G19" s="114"/>
      <c r="H19" s="114"/>
      <c r="I19" s="115"/>
    </row>
    <row r="20" customFormat="false" ht="19.5" hidden="false" customHeight="true" outlineLevel="0" collapsed="false">
      <c r="B20" s="116" t="s">
        <v>422</v>
      </c>
      <c r="C20" s="116"/>
      <c r="D20" s="91" t="s">
        <v>423</v>
      </c>
      <c r="E20" s="91" t="s">
        <v>424</v>
      </c>
      <c r="F20" s="91"/>
      <c r="G20" s="91"/>
      <c r="H20" s="91"/>
      <c r="I20" s="117"/>
    </row>
    <row r="22" customFormat="false" ht="6" hidden="false" customHeight="true" outlineLevel="0" collapsed="false"/>
    <row r="23" customFormat="false" ht="21.75" hidden="false" customHeight="true" outlineLevel="0" collapsed="false">
      <c r="B23" s="118" t="s">
        <v>425</v>
      </c>
      <c r="C23" s="118"/>
      <c r="D23" s="119" t="n">
        <f aca="false">IF(D13&gt;0,D13-$C$8,"")</f>
        <v>-1500</v>
      </c>
      <c r="E23" s="119" t="n">
        <f aca="false">IF(E13&gt;0,E13-$C$8,"")</f>
        <v>4200</v>
      </c>
      <c r="F23" s="119" t="str">
        <f aca="false">IF(F13&gt;0,F13-$C$8,"")</f>
        <v/>
      </c>
      <c r="G23" s="119" t="str">
        <f aca="false">IF(G13&gt;0,G13-$C$8,"")</f>
        <v/>
      </c>
      <c r="H23" s="119" t="str">
        <f aca="false">IF(H13&gt;0,H13-$C$8,"")</f>
        <v/>
      </c>
    </row>
    <row r="24" customFormat="false" ht="21.75" hidden="false" customHeight="true" outlineLevel="0" collapsed="false">
      <c r="B24" s="118" t="s">
        <v>426</v>
      </c>
      <c r="C24" s="118"/>
      <c r="D24" s="120" t="n">
        <f aca="false">IF(D13&gt;0,IFERROR((D13-$C$8)/$C$8,""),"")</f>
        <v>-0.0166666666666667</v>
      </c>
      <c r="E24" s="120" t="n">
        <f aca="false">IF(E13&gt;0,IFERROR((E13-$C$8)/$C$8,""),"")</f>
        <v>0.0466666666666667</v>
      </c>
      <c r="F24" s="120" t="str">
        <f aca="false">IF(F13&gt;0,IFERROR((F13-$C$8)/$C$8,""),"")</f>
        <v/>
      </c>
      <c r="G24" s="120" t="str">
        <f aca="false">IF(G13&gt;0,IFERROR((G13-$C$8)/$C$8,""),"")</f>
        <v/>
      </c>
      <c r="H24" s="120" t="str">
        <f aca="false">IF(H13&gt;0,IFERROR((H13-$C$8)/$C$8,""),"")</f>
        <v/>
      </c>
    </row>
    <row r="25" customFormat="false" ht="21.75" hidden="false" customHeight="true" outlineLevel="0" collapsed="false">
      <c r="B25" s="121" t="s">
        <v>427</v>
      </c>
      <c r="C25" s="121"/>
      <c r="D25" s="122" t="str">
        <f aca="false">IF(D13&gt;0,IF(D13=MIN($D$13:$H$13),"✓ LOWEST",""),"")</f>
        <v>✓ LOWEST</v>
      </c>
      <c r="E25" s="122" t="str">
        <f aca="false">IF(E13&gt;0,IF(E13=MIN($D$13:$H$13),"✓ LOWEST",""),"")</f>
        <v/>
      </c>
      <c r="F25" s="122" t="str">
        <f aca="false">IF(F13&gt;0,IF(F13=MIN($D$13:$H$13),"✓ LOWEST",""),"")</f>
        <v/>
      </c>
      <c r="G25" s="122" t="str">
        <f aca="false">IF(G13&gt;0,IF(G13=MIN($D$13:$H$13),"✓ LOWEST",""),"")</f>
        <v/>
      </c>
      <c r="H25" s="122" t="str">
        <f aca="false">IF(H13&gt;0,IF(H13=MIN($D$13:$H$13),"✓ LOWEST",""),"")</f>
        <v/>
      </c>
    </row>
    <row r="27" customFormat="false" ht="21.75" hidden="false" customHeight="true" outlineLevel="0" collapsed="false">
      <c r="B27" s="123" t="s">
        <v>428</v>
      </c>
      <c r="C27" s="123"/>
      <c r="D27" s="123"/>
      <c r="E27" s="123"/>
      <c r="F27" s="123"/>
      <c r="G27" s="123"/>
      <c r="H27" s="123"/>
      <c r="I27" s="123"/>
    </row>
    <row r="28" customFormat="false" ht="18" hidden="false" customHeight="true" outlineLevel="0" collapsed="false">
      <c r="B28" s="124" t="s">
        <v>429</v>
      </c>
      <c r="C28" s="124"/>
      <c r="D28" s="124"/>
      <c r="E28" s="124"/>
      <c r="F28" s="124"/>
      <c r="G28" s="124"/>
      <c r="H28" s="124"/>
      <c r="I28" s="124"/>
    </row>
    <row r="29" customFormat="false" ht="18" hidden="false" customHeight="true" outlineLevel="0" collapsed="false">
      <c r="B29" s="124"/>
      <c r="C29" s="124"/>
      <c r="D29" s="124"/>
      <c r="E29" s="124"/>
      <c r="F29" s="124"/>
      <c r="G29" s="124"/>
      <c r="H29" s="124"/>
      <c r="I29" s="124"/>
    </row>
    <row r="30" customFormat="false" ht="18" hidden="false" customHeight="true" outlineLevel="0" collapsed="false">
      <c r="B30" s="124"/>
      <c r="C30" s="124"/>
      <c r="D30" s="124"/>
      <c r="E30" s="124"/>
      <c r="F30" s="124"/>
      <c r="G30" s="124"/>
      <c r="H30" s="124"/>
      <c r="I30" s="124"/>
    </row>
  </sheetData>
  <mergeCells count="25">
    <mergeCell ref="B2:I2"/>
    <mergeCell ref="B4:I4"/>
    <mergeCell ref="C6:E6"/>
    <mergeCell ref="G6:I6"/>
    <mergeCell ref="C7:E7"/>
    <mergeCell ref="G7:I7"/>
    <mergeCell ref="C8:E8"/>
    <mergeCell ref="G8:I8"/>
    <mergeCell ref="C9:E9"/>
    <mergeCell ref="G9:I9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3:C23"/>
    <mergeCell ref="B24:C24"/>
    <mergeCell ref="B25:C25"/>
    <mergeCell ref="B27:I27"/>
    <mergeCell ref="B28:I30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1ABC9C"/>
    <pageSetUpPr fitToPage="false"/>
  </sheetPr>
  <dimension ref="B2:I2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3"/>
    <col collapsed="false" customWidth="true" hidden="false" outlineLevel="0" max="2" min="2" style="1" width="22"/>
    <col collapsed="false" customWidth="true" hidden="false" outlineLevel="0" max="7" min="3" style="1" width="14"/>
    <col collapsed="false" customWidth="true" hidden="false" outlineLevel="0" max="8" min="8" style="1" width="16"/>
    <col collapsed="false" customWidth="true" hidden="false" outlineLevel="0" max="9" min="9" style="1" width="14"/>
  </cols>
  <sheetData>
    <row r="2" customFormat="false" ht="37.5" hidden="false" customHeight="true" outlineLevel="0" collapsed="false">
      <c r="B2" s="102" t="s">
        <v>430</v>
      </c>
      <c r="C2" s="102"/>
      <c r="D2" s="102"/>
      <c r="E2" s="102"/>
      <c r="F2" s="102"/>
      <c r="G2" s="102"/>
      <c r="H2" s="102"/>
      <c r="I2" s="102"/>
    </row>
    <row r="4" customFormat="false" ht="18" hidden="false" customHeight="true" outlineLevel="0" collapsed="false">
      <c r="B4" s="103" t="s">
        <v>431</v>
      </c>
      <c r="C4" s="103"/>
      <c r="D4" s="103"/>
      <c r="E4" s="103"/>
      <c r="F4" s="103"/>
      <c r="G4" s="103"/>
      <c r="H4" s="103"/>
      <c r="I4" s="103"/>
    </row>
    <row r="6" customFormat="false" ht="30" hidden="false" customHeight="true" outlineLevel="0" collapsed="false">
      <c r="B6" s="79" t="s">
        <v>406</v>
      </c>
      <c r="C6" s="79" t="s">
        <v>432</v>
      </c>
      <c r="D6" s="79" t="s">
        <v>433</v>
      </c>
      <c r="E6" s="79" t="s">
        <v>434</v>
      </c>
      <c r="F6" s="79" t="s">
        <v>435</v>
      </c>
      <c r="G6" s="79" t="s">
        <v>436</v>
      </c>
      <c r="H6" s="79" t="s">
        <v>437</v>
      </c>
      <c r="I6" s="79" t="s">
        <v>438</v>
      </c>
    </row>
    <row r="7" customFormat="false" ht="18" hidden="false" customHeight="true" outlineLevel="0" collapsed="false">
      <c r="B7" s="82" t="s">
        <v>110</v>
      </c>
      <c r="C7" s="81" t="n">
        <f aca="false">COUNTIF('RFQ Tracker'!J12:J511,B7)</f>
        <v>5</v>
      </c>
      <c r="D7" s="81" t="n">
        <f aca="false">COUNTIFS('RFQ Tracker'!J12:J511,B7,'RFQ Tracker'!O12:O511,"Y")</f>
        <v>4</v>
      </c>
      <c r="E7" s="125" t="n">
        <f aca="false">IFERROR(D7/C7,"")</f>
        <v>0.8</v>
      </c>
      <c r="F7" s="81" t="n">
        <f aca="false">COUNTIFS('RFQ Tracker'!V12:V511,B7,'RFQ Tracker'!Z12:Z511,"Closed")</f>
        <v>3</v>
      </c>
      <c r="G7" s="125" t="n">
        <f aca="false">IFERROR(F7/D7,"")</f>
        <v>0.75</v>
      </c>
      <c r="H7" s="126" t="n">
        <f aca="false">IFERROR(AVERAGEIF('RFQ Tracker'!J12:J511,B7,'RFQ Tracker'!R12:R511),"")</f>
        <v>15933.3333333333</v>
      </c>
      <c r="I7" s="127" t="str">
        <f aca="false">IFERROR(IF(E7&gt;=0.66,IF(F7&gt;0,"Strong","Responsive"),"Follow Up"),"")</f>
        <v>Strong</v>
      </c>
    </row>
    <row r="8" customFormat="false" ht="18" hidden="false" customHeight="true" outlineLevel="0" collapsed="false">
      <c r="B8" s="90" t="s">
        <v>119</v>
      </c>
      <c r="C8" s="89" t="n">
        <f aca="false">COUNTIF('RFQ Tracker'!J12:J511,B8)</f>
        <v>3</v>
      </c>
      <c r="D8" s="89" t="n">
        <f aca="false">COUNTIFS('RFQ Tracker'!J12:J511,B8,'RFQ Tracker'!O12:O511,"Y")</f>
        <v>3</v>
      </c>
      <c r="E8" s="128" t="n">
        <f aca="false">IFERROR(D8/C8,"")</f>
        <v>1</v>
      </c>
      <c r="F8" s="89" t="n">
        <f aca="false">COUNTIFS('RFQ Tracker'!V12:V511,B8,'RFQ Tracker'!Z12:Z511,"Closed")</f>
        <v>2</v>
      </c>
      <c r="G8" s="128" t="n">
        <f aca="false">IFERROR(F8/D8,"")</f>
        <v>0.666666666666667</v>
      </c>
      <c r="H8" s="129" t="n">
        <f aca="false">IFERROR(AVERAGEIF('RFQ Tracker'!J12:J511,B8,'RFQ Tracker'!R12:R511),"")</f>
        <v>1773.33333333333</v>
      </c>
      <c r="I8" s="130" t="str">
        <f aca="false">IFERROR(IF(E8&gt;=0.66,IF(F8&gt;0,"Strong","Responsive"),"Follow Up"),"")</f>
        <v>Strong</v>
      </c>
    </row>
    <row r="9" customFormat="false" ht="18" hidden="false" customHeight="true" outlineLevel="0" collapsed="false">
      <c r="B9" s="82" t="s">
        <v>126</v>
      </c>
      <c r="C9" s="81" t="n">
        <f aca="false">COUNTIF('RFQ Tracker'!J12:J511,B9)</f>
        <v>2</v>
      </c>
      <c r="D9" s="81" t="n">
        <f aca="false">COUNTIFS('RFQ Tracker'!J12:J511,B9,'RFQ Tracker'!O12:O511,"Y")</f>
        <v>2</v>
      </c>
      <c r="E9" s="125" t="n">
        <f aca="false">IFERROR(D9/C9,"")</f>
        <v>1</v>
      </c>
      <c r="F9" s="81" t="n">
        <f aca="false">COUNTIFS('RFQ Tracker'!V12:V511,B9,'RFQ Tracker'!Z12:Z511,"Closed")</f>
        <v>0</v>
      </c>
      <c r="G9" s="125" t="n">
        <f aca="false">IFERROR(F9/D9,"")</f>
        <v>0</v>
      </c>
      <c r="H9" s="126" t="n">
        <f aca="false">IFERROR(AVERAGEIF('RFQ Tracker'!J12:J511,B9,'RFQ Tracker'!R12:R511),"")</f>
        <v>70250</v>
      </c>
      <c r="I9" s="127" t="str">
        <f aca="false">IFERROR(IF(E9&gt;=0.66,IF(F9&gt;0,"Strong","Responsive"),"Follow Up"),"")</f>
        <v>Responsive</v>
      </c>
    </row>
    <row r="10" customFormat="false" ht="18" hidden="false" customHeight="true" outlineLevel="0" collapsed="false">
      <c r="B10" s="90" t="s">
        <v>133</v>
      </c>
      <c r="C10" s="89" t="n">
        <f aca="false">COUNTIF('RFQ Tracker'!J12:J511,B10)</f>
        <v>1</v>
      </c>
      <c r="D10" s="89" t="n">
        <f aca="false">COUNTIFS('RFQ Tracker'!J12:J511,B10,'RFQ Tracker'!O12:O511,"Y")</f>
        <v>0</v>
      </c>
      <c r="E10" s="128" t="n">
        <f aca="false">IFERROR(D10/C10,"")</f>
        <v>0</v>
      </c>
      <c r="F10" s="89" t="n">
        <f aca="false">COUNTIFS('RFQ Tracker'!V12:V511,B10,'RFQ Tracker'!Z12:Z511,"Closed")</f>
        <v>0</v>
      </c>
      <c r="G10" s="128" t="str">
        <f aca="false">IFERROR(F10/D10,"")</f>
        <v/>
      </c>
      <c r="H10" s="129" t="str">
        <f aca="false">IFERROR(AVERAGEIF('RFQ Tracker'!J12:J511,B10,'RFQ Tracker'!R12:R511),"")</f>
        <v/>
      </c>
      <c r="I10" s="130" t="str">
        <f aca="false">IFERROR(IF(E10&gt;=0.66,IF(F10&gt;0,"Strong","Responsive"),"Follow Up"),"")</f>
        <v>Follow Up</v>
      </c>
    </row>
    <row r="11" customFormat="false" ht="18" hidden="false" customHeight="true" outlineLevel="0" collapsed="false">
      <c r="B11" s="82" t="s">
        <v>140</v>
      </c>
      <c r="C11" s="81" t="n">
        <f aca="false">COUNTIF('RFQ Tracker'!J12:J511,B11)</f>
        <v>2</v>
      </c>
      <c r="D11" s="81" t="n">
        <f aca="false">COUNTIFS('RFQ Tracker'!J12:J511,B11,'RFQ Tracker'!O12:O511,"Y")</f>
        <v>2</v>
      </c>
      <c r="E11" s="125" t="n">
        <f aca="false">IFERROR(D11/C11,"")</f>
        <v>1</v>
      </c>
      <c r="F11" s="81" t="n">
        <f aca="false">COUNTIFS('RFQ Tracker'!V12:V511,B11,'RFQ Tracker'!Z12:Z511,"Closed")</f>
        <v>1</v>
      </c>
      <c r="G11" s="125" t="n">
        <f aca="false">IFERROR(F11/D11,"")</f>
        <v>0.5</v>
      </c>
      <c r="H11" s="126" t="n">
        <f aca="false">IFERROR(AVERAGEIF('RFQ Tracker'!J12:J511,B11,'RFQ Tracker'!R12:R511),"")</f>
        <v>3700</v>
      </c>
      <c r="I11" s="127" t="str">
        <f aca="false">IFERROR(IF(E11&gt;=0.66,IF(F11&gt;0,"Strong","Responsive"),"Follow Up"),"")</f>
        <v>Strong</v>
      </c>
    </row>
    <row r="12" customFormat="false" ht="18" hidden="false" customHeight="true" outlineLevel="0" collapsed="false">
      <c r="B12" s="90" t="s">
        <v>145</v>
      </c>
      <c r="C12" s="89" t="n">
        <f aca="false">COUNTIF('RFQ Tracker'!J12:J511,B12)</f>
        <v>2</v>
      </c>
      <c r="D12" s="89" t="n">
        <f aca="false">COUNTIFS('RFQ Tracker'!J12:J511,B12,'RFQ Tracker'!O12:O511,"Y")</f>
        <v>1</v>
      </c>
      <c r="E12" s="128" t="n">
        <f aca="false">IFERROR(D12/C12,"")</f>
        <v>0.5</v>
      </c>
      <c r="F12" s="89" t="n">
        <f aca="false">COUNTIFS('RFQ Tracker'!V12:V511,B12,'RFQ Tracker'!Z12:Z511,"Closed")</f>
        <v>1</v>
      </c>
      <c r="G12" s="128" t="n">
        <f aca="false">IFERROR(F12/D12,"")</f>
        <v>1</v>
      </c>
      <c r="H12" s="129" t="n">
        <f aca="false">IFERROR(AVERAGEIF('RFQ Tracker'!J12:J511,B12,'RFQ Tracker'!R12:R511),"")</f>
        <v>145000</v>
      </c>
      <c r="I12" s="130" t="str">
        <f aca="false">IFERROR(IF(E12&gt;=0.66,IF(F12&gt;0,"Strong","Responsive"),"Follow Up"),"")</f>
        <v>Follow Up</v>
      </c>
    </row>
    <row r="13" customFormat="false" ht="18" hidden="false" customHeight="true" outlineLevel="0" collapsed="false">
      <c r="B13" s="82" t="s">
        <v>150</v>
      </c>
      <c r="C13" s="81" t="n">
        <f aca="false">COUNTIF('RFQ Tracker'!J12:J511,B13)</f>
        <v>3</v>
      </c>
      <c r="D13" s="81" t="n">
        <f aca="false">COUNTIFS('RFQ Tracker'!J12:J511,B13,'RFQ Tracker'!O12:O511,"Y")</f>
        <v>3</v>
      </c>
      <c r="E13" s="125" t="n">
        <f aca="false">IFERROR(D13/C13,"")</f>
        <v>1</v>
      </c>
      <c r="F13" s="81" t="n">
        <f aca="false">COUNTIFS('RFQ Tracker'!V12:V511,B13,'RFQ Tracker'!Z12:Z511,"Closed")</f>
        <v>3</v>
      </c>
      <c r="G13" s="125" t="n">
        <f aca="false">IFERROR(F13/D13,"")</f>
        <v>1</v>
      </c>
      <c r="H13" s="126" t="n">
        <f aca="false">IFERROR(AVERAGEIF('RFQ Tracker'!J12:J511,B13,'RFQ Tracker'!R12:R511),"")</f>
        <v>53433.3333333333</v>
      </c>
      <c r="I13" s="127" t="str">
        <f aca="false">IFERROR(IF(E13&gt;=0.66,IF(F13&gt;0,"Strong","Responsive"),"Follow Up"),"")</f>
        <v>Strong</v>
      </c>
    </row>
    <row r="14" customFormat="false" ht="18" hidden="false" customHeight="true" outlineLevel="0" collapsed="false">
      <c r="B14" s="90" t="s">
        <v>155</v>
      </c>
      <c r="C14" s="89" t="n">
        <f aca="false">COUNTIF('RFQ Tracker'!J12:J511,B14)</f>
        <v>6</v>
      </c>
      <c r="D14" s="89" t="n">
        <f aca="false">COUNTIFS('RFQ Tracker'!J12:J511,B14,'RFQ Tracker'!O12:O511,"Y")</f>
        <v>4</v>
      </c>
      <c r="E14" s="128" t="n">
        <f aca="false">IFERROR(D14/C14,"")</f>
        <v>0.666666666666667</v>
      </c>
      <c r="F14" s="89" t="n">
        <f aca="false">COUNTIFS('RFQ Tracker'!V12:V511,B14,'RFQ Tracker'!Z12:Z511,"Closed")</f>
        <v>2</v>
      </c>
      <c r="G14" s="128" t="n">
        <f aca="false">IFERROR(F14/D14,"")</f>
        <v>0.5</v>
      </c>
      <c r="H14" s="129" t="n">
        <f aca="false">IFERROR(AVERAGEIF('RFQ Tracker'!J12:J511,B14,'RFQ Tracker'!R12:R511),"")</f>
        <v>8800</v>
      </c>
      <c r="I14" s="130" t="str">
        <f aca="false">IFERROR(IF(E14&gt;=0.66,IF(F14&gt;0,"Strong","Responsive"),"Follow Up"),"")</f>
        <v>Strong</v>
      </c>
    </row>
    <row r="15" customFormat="false" ht="18" hidden="false" customHeight="true" outlineLevel="0" collapsed="false">
      <c r="B15" s="82" t="s">
        <v>161</v>
      </c>
      <c r="C15" s="81" t="n">
        <f aca="false">COUNTIF('RFQ Tracker'!J12:J511,B15)</f>
        <v>2</v>
      </c>
      <c r="D15" s="81" t="n">
        <f aca="false">COUNTIFS('RFQ Tracker'!J12:J511,B15,'RFQ Tracker'!O12:O511,"Y")</f>
        <v>1</v>
      </c>
      <c r="E15" s="125" t="n">
        <f aca="false">IFERROR(D15/C15,"")</f>
        <v>0.5</v>
      </c>
      <c r="F15" s="81" t="n">
        <f aca="false">COUNTIFS('RFQ Tracker'!V12:V511,B15,'RFQ Tracker'!Z12:Z511,"Closed")</f>
        <v>0</v>
      </c>
      <c r="G15" s="125" t="n">
        <f aca="false">IFERROR(F15/D15,"")</f>
        <v>0</v>
      </c>
      <c r="H15" s="126" t="n">
        <f aca="false">IFERROR(AVERAGEIF('RFQ Tracker'!J12:J511,B15,'RFQ Tracker'!R12:R511),"")</f>
        <v>22800</v>
      </c>
      <c r="I15" s="127" t="str">
        <f aca="false">IFERROR(IF(E15&gt;=0.66,IF(F15&gt;0,"Strong","Responsive"),"Follow Up"),"")</f>
        <v>Follow Up</v>
      </c>
    </row>
    <row r="16" customFormat="false" ht="18" hidden="false" customHeight="true" outlineLevel="0" collapsed="false">
      <c r="B16" s="90" t="s">
        <v>168</v>
      </c>
      <c r="C16" s="89" t="n">
        <f aca="false">COUNTIF('RFQ Tracker'!J12:J511,B16)</f>
        <v>2</v>
      </c>
      <c r="D16" s="89" t="n">
        <f aca="false">COUNTIFS('RFQ Tracker'!J12:J511,B16,'RFQ Tracker'!O12:O511,"Y")</f>
        <v>2</v>
      </c>
      <c r="E16" s="128" t="n">
        <f aca="false">IFERROR(D16/C16,"")</f>
        <v>1</v>
      </c>
      <c r="F16" s="89" t="n">
        <f aca="false">COUNTIFS('RFQ Tracker'!V12:V511,B16,'RFQ Tracker'!Z12:Z511,"Closed")</f>
        <v>2</v>
      </c>
      <c r="G16" s="128" t="n">
        <f aca="false">IFERROR(F16/D16,"")</f>
        <v>1</v>
      </c>
      <c r="H16" s="129" t="n">
        <f aca="false">IFERROR(AVERAGEIF('RFQ Tracker'!J12:J511,B16,'RFQ Tracker'!R12:R511),"")</f>
        <v>59600</v>
      </c>
      <c r="I16" s="130" t="str">
        <f aca="false">IFERROR(IF(E16&gt;=0.66,IF(F16&gt;0,"Strong","Responsive"),"Follow Up"),"")</f>
        <v>Strong</v>
      </c>
    </row>
    <row r="17" customFormat="false" ht="18" hidden="false" customHeight="true" outlineLevel="0" collapsed="false">
      <c r="B17" s="82" t="s">
        <v>174</v>
      </c>
      <c r="C17" s="81" t="n">
        <f aca="false">COUNTIF('RFQ Tracker'!J12:J511,B17)</f>
        <v>2</v>
      </c>
      <c r="D17" s="81" t="n">
        <f aca="false">COUNTIFS('RFQ Tracker'!J12:J511,B17,'RFQ Tracker'!O12:O511,"Y")</f>
        <v>0</v>
      </c>
      <c r="E17" s="125" t="n">
        <f aca="false">IFERROR(D17/C17,"")</f>
        <v>0</v>
      </c>
      <c r="F17" s="81" t="n">
        <f aca="false">COUNTIFS('RFQ Tracker'!V12:V511,B17,'RFQ Tracker'!Z12:Z511,"Closed")</f>
        <v>0</v>
      </c>
      <c r="G17" s="125" t="str">
        <f aca="false">IFERROR(F17/D17,"")</f>
        <v/>
      </c>
      <c r="H17" s="126" t="str">
        <f aca="false">IFERROR(AVERAGEIF('RFQ Tracker'!J12:J511,B17,'RFQ Tracker'!R12:R511),"")</f>
        <v/>
      </c>
      <c r="I17" s="127" t="str">
        <f aca="false">IFERROR(IF(E17&gt;=0.66,IF(F17&gt;0,"Strong","Responsive"),"Follow Up"),"")</f>
        <v>Follow Up</v>
      </c>
    </row>
    <row r="18" customFormat="false" ht="18" hidden="false" customHeight="true" outlineLevel="0" collapsed="false">
      <c r="B18" s="90" t="s">
        <v>178</v>
      </c>
      <c r="C18" s="89" t="n">
        <f aca="false">COUNTIF('RFQ Tracker'!J12:J511,B18)</f>
        <v>4</v>
      </c>
      <c r="D18" s="89" t="n">
        <f aca="false">COUNTIFS('RFQ Tracker'!J12:J511,B18,'RFQ Tracker'!O12:O511,"Y")</f>
        <v>3</v>
      </c>
      <c r="E18" s="128" t="n">
        <f aca="false">IFERROR(D18/C18,"")</f>
        <v>0.75</v>
      </c>
      <c r="F18" s="89" t="n">
        <f aca="false">COUNTIFS('RFQ Tracker'!V12:V511,B18,'RFQ Tracker'!Z12:Z511,"Closed")</f>
        <v>2</v>
      </c>
      <c r="G18" s="128" t="n">
        <f aca="false">IFERROR(F18/D18,"")</f>
        <v>0.666666666666667</v>
      </c>
      <c r="H18" s="129" t="n">
        <f aca="false">IFERROR(AVERAGEIF('RFQ Tracker'!J12:J511,B18,'RFQ Tracker'!R12:R511),"")</f>
        <v>496.666666666667</v>
      </c>
      <c r="I18" s="130" t="str">
        <f aca="false">IFERROR(IF(E18&gt;=0.66,IF(F18&gt;0,"Strong","Responsive"),"Follow Up"),"")</f>
        <v>Strong</v>
      </c>
    </row>
    <row r="19" customFormat="false" ht="18" hidden="false" customHeight="true" outlineLevel="0" collapsed="false">
      <c r="B19" s="82" t="s">
        <v>184</v>
      </c>
      <c r="C19" s="81" t="n">
        <f aca="false">COUNTIF('RFQ Tracker'!J12:J511,B19)</f>
        <v>4</v>
      </c>
      <c r="D19" s="81" t="n">
        <f aca="false">COUNTIFS('RFQ Tracker'!J12:J511,B19,'RFQ Tracker'!O12:O511,"Y")</f>
        <v>3</v>
      </c>
      <c r="E19" s="125" t="n">
        <f aca="false">IFERROR(D19/C19,"")</f>
        <v>0.75</v>
      </c>
      <c r="F19" s="81" t="n">
        <f aca="false">COUNTIFS('RFQ Tracker'!V12:V511,B19,'RFQ Tracker'!Z12:Z511,"Closed")</f>
        <v>2</v>
      </c>
      <c r="G19" s="125" t="n">
        <f aca="false">IFERROR(F19/D19,"")</f>
        <v>0.666666666666667</v>
      </c>
      <c r="H19" s="126" t="n">
        <f aca="false">IFERROR(AVERAGEIF('RFQ Tracker'!J12:J511,B19,'RFQ Tracker'!R12:R511),"")</f>
        <v>34600</v>
      </c>
      <c r="I19" s="127" t="str">
        <f aca="false">IFERROR(IF(E19&gt;=0.66,IF(F19&gt;0,"Strong","Responsive"),"Follow Up"),"")</f>
        <v>Strong</v>
      </c>
    </row>
    <row r="20" customFormat="false" ht="18" hidden="false" customHeight="true" outlineLevel="0" collapsed="false">
      <c r="B20" s="90" t="s">
        <v>189</v>
      </c>
      <c r="C20" s="89" t="n">
        <f aca="false">COUNTIF('RFQ Tracker'!J12:J511,B20)</f>
        <v>1</v>
      </c>
      <c r="D20" s="89" t="n">
        <f aca="false">COUNTIFS('RFQ Tracker'!J12:J511,B20,'RFQ Tracker'!O12:O511,"Y")</f>
        <v>1</v>
      </c>
      <c r="E20" s="128" t="n">
        <f aca="false">IFERROR(D20/C20,"")</f>
        <v>1</v>
      </c>
      <c r="F20" s="89" t="n">
        <f aca="false">COUNTIFS('RFQ Tracker'!V12:V511,B20,'RFQ Tracker'!Z12:Z511,"Closed")</f>
        <v>1</v>
      </c>
      <c r="G20" s="128" t="n">
        <f aca="false">IFERROR(F20/D20,"")</f>
        <v>1</v>
      </c>
      <c r="H20" s="129" t="n">
        <f aca="false">IFERROR(AVERAGEIF('RFQ Tracker'!J12:J511,B20,'RFQ Tracker'!R12:R511),"")</f>
        <v>9100</v>
      </c>
      <c r="I20" s="130" t="str">
        <f aca="false">IFERROR(IF(E20&gt;=0.66,IF(F20&gt;0,"Strong","Responsive"),"Follow Up"),"")</f>
        <v>Strong</v>
      </c>
    </row>
    <row r="21" customFormat="false" ht="18" hidden="false" customHeight="true" outlineLevel="0" collapsed="false">
      <c r="B21" s="82" t="s">
        <v>194</v>
      </c>
      <c r="C21" s="81" t="n">
        <f aca="false">COUNTIF('RFQ Tracker'!J12:J511,B21)</f>
        <v>4</v>
      </c>
      <c r="D21" s="81" t="n">
        <f aca="false">COUNTIFS('RFQ Tracker'!J12:J511,B21,'RFQ Tracker'!O12:O511,"Y")</f>
        <v>3</v>
      </c>
      <c r="E21" s="125" t="n">
        <f aca="false">IFERROR(D21/C21,"")</f>
        <v>0.75</v>
      </c>
      <c r="F21" s="81" t="n">
        <f aca="false">COUNTIFS('RFQ Tracker'!V12:V511,B21,'RFQ Tracker'!Z12:Z511,"Closed")</f>
        <v>2</v>
      </c>
      <c r="G21" s="125" t="n">
        <f aca="false">IFERROR(F21/D21,"")</f>
        <v>0.666666666666667</v>
      </c>
      <c r="H21" s="126" t="n">
        <f aca="false">IFERROR(AVERAGEIF('RFQ Tracker'!J12:J511,B21,'RFQ Tracker'!R12:R511),"")</f>
        <v>68233.3333333333</v>
      </c>
      <c r="I21" s="127" t="str">
        <f aca="false">IFERROR(IF(E21&gt;=0.66,IF(F21&gt;0,"Strong","Responsive"),"Follow Up"),"")</f>
        <v>Strong</v>
      </c>
    </row>
  </sheetData>
  <mergeCells count="2">
    <mergeCell ref="B2:I2"/>
    <mergeCell ref="B4:I4"/>
  </mergeCells>
  <conditionalFormatting sqref="B7:I22">
    <cfRule type="expression" priority="2" aboveAverage="0" equalAverage="0" bottom="0" percent="0" rank="0" text="" dxfId="20">
      <formula>$E7&gt;=0.8</formula>
    </cfRule>
    <cfRule type="expression" priority="3" aboveAverage="0" equalAverage="0" bottom="0" percent="0" rank="0" text="" dxfId="22">
      <formula>AND($E7&lt;0.5,$C7&gt;0)</formula>
    </cfRule>
  </conditionalFormatting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E67E22"/>
    <pageSetUpPr fitToPage="false"/>
  </sheetPr>
  <dimension ref="B2:I36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3"/>
    <col collapsed="false" customWidth="true" hidden="false" outlineLevel="0" max="2" min="2" style="1" width="26"/>
    <col collapsed="false" customWidth="true" hidden="false" outlineLevel="0" max="3" min="3" style="1" width="20"/>
    <col collapsed="false" customWidth="true" hidden="false" outlineLevel="0" max="4" min="4" style="1" width="3"/>
    <col collapsed="false" customWidth="true" hidden="false" outlineLevel="0" max="5" min="5" style="1" width="26"/>
    <col collapsed="false" customWidth="true" hidden="false" outlineLevel="0" max="6" min="6" style="1" width="20"/>
    <col collapsed="false" customWidth="true" hidden="false" outlineLevel="0" max="7" min="7" style="1" width="3"/>
    <col collapsed="false" customWidth="true" hidden="false" outlineLevel="0" max="8" min="8" style="1" width="24"/>
    <col collapsed="false" customWidth="true" hidden="false" outlineLevel="0" max="9" min="9" style="1" width="20"/>
  </cols>
  <sheetData>
    <row r="2" customFormat="false" ht="37.5" hidden="false" customHeight="true" outlineLevel="0" collapsed="false">
      <c r="B2" s="102" t="s">
        <v>439</v>
      </c>
      <c r="C2" s="102"/>
      <c r="D2" s="102"/>
      <c r="E2" s="102"/>
      <c r="F2" s="102"/>
      <c r="G2" s="102"/>
      <c r="H2" s="102"/>
      <c r="I2" s="102"/>
    </row>
    <row r="4" customFormat="false" ht="24" hidden="false" customHeight="true" outlineLevel="0" collapsed="false">
      <c r="B4" s="123" t="s">
        <v>440</v>
      </c>
      <c r="C4" s="123"/>
      <c r="E4" s="131" t="s">
        <v>441</v>
      </c>
      <c r="F4" s="131"/>
      <c r="H4" s="132" t="s">
        <v>442</v>
      </c>
      <c r="I4" s="132"/>
    </row>
    <row r="5" customFormat="false" ht="19.5" hidden="false" customHeight="true" outlineLevel="0" collapsed="false">
      <c r="B5" s="133" t="s">
        <v>443</v>
      </c>
      <c r="C5" s="134" t="n">
        <f aca="false">COUNTA('RFQ Tracker'!C12:C511)</f>
        <v>60</v>
      </c>
      <c r="E5" s="133" t="s">
        <v>444</v>
      </c>
      <c r="F5" s="135" t="n">
        <f aca="false">IFERROR(AVERAGEIF('RFQ Tracker'!X12:X511,"&gt;"&amp;0,'RFQ Tracker'!X12:X511),0)</f>
        <v>38.1875</v>
      </c>
      <c r="H5" s="133" t="s">
        <v>445</v>
      </c>
      <c r="I5" s="134" t="n">
        <f aca="false">IFERROR(SUM('RFQ Tracker'!P12:P511),0)</f>
        <v>119</v>
      </c>
    </row>
    <row r="6" customFormat="false" ht="19.5" hidden="false" customHeight="true" outlineLevel="0" collapsed="false">
      <c r="B6" s="136" t="s">
        <v>446</v>
      </c>
      <c r="C6" s="137" t="n">
        <f aca="false">COUNTIF('RFQ Tracker'!Z12:Z511,"Open")</f>
        <v>25</v>
      </c>
      <c r="E6" s="136" t="s">
        <v>447</v>
      </c>
      <c r="F6" s="137" t="n">
        <f aca="false">IFERROR(minifs('RFQ Tracker'!X12:X511,'RFQ Tracker'!X12:X511,"&gt;0"),0)</f>
        <v>0</v>
      </c>
      <c r="H6" s="136" t="s">
        <v>448</v>
      </c>
      <c r="I6" s="138" t="n">
        <f aca="false">IFERROR(AVERAGEIF('RFQ Tracker'!P12:P511,"&gt;0",'RFQ Tracker'!P12:P511),0)</f>
        <v>2.70454545454545</v>
      </c>
    </row>
    <row r="7" customFormat="false" ht="19.5" hidden="false" customHeight="true" outlineLevel="0" collapsed="false">
      <c r="B7" s="133" t="s">
        <v>449</v>
      </c>
      <c r="C7" s="134" t="n">
        <f aca="false">COUNTIF('RFQ Tracker'!Z12:Z511,"Closed")</f>
        <v>32</v>
      </c>
      <c r="E7" s="133" t="s">
        <v>450</v>
      </c>
      <c r="F7" s="134" t="n">
        <f aca="false">IFERROR(MAX('RFQ Tracker'!X12:X511),0)</f>
        <v>40</v>
      </c>
      <c r="H7" s="133" t="s">
        <v>451</v>
      </c>
      <c r="I7" s="139" t="n">
        <f aca="false">IFERROR(COUNTIF('RFQ Tracker'!O12:O511,"Y")/MAX(COUNTA('RFQ Tracker'!C12:C511),1),0)</f>
        <v>0.733333333333333</v>
      </c>
    </row>
    <row r="8" customFormat="false" ht="19.5" hidden="false" customHeight="true" outlineLevel="0" collapsed="false">
      <c r="B8" s="136" t="s">
        <v>334</v>
      </c>
      <c r="C8" s="137" t="n">
        <f aca="false">COUNTIF('RFQ Tracker'!Z12:Z511,"Cancelled")</f>
        <v>2</v>
      </c>
      <c r="E8" s="136" t="s">
        <v>452</v>
      </c>
      <c r="F8" s="140" t="n">
        <f aca="false">IFERROR(COUNTIF('RFQ Tracker'!Y12:Y511,"Yes")/MAX(COUNTIF('RFQ Tracker'!Y12:Y511,"Yes")+COUNTIF('RFQ Tracker'!Y12:Y511,"No"),1),0)</f>
        <v>1</v>
      </c>
      <c r="H8" s="136" t="s">
        <v>453</v>
      </c>
      <c r="I8" s="141" t="n">
        <f aca="false">IFERROR(SUMIF('RFQ Tracker'!Q12:Q511,"&gt;0",'RFQ Tracker'!Q12:Q511),0)</f>
        <v>1679400</v>
      </c>
    </row>
    <row r="9" customFormat="false" ht="19.5" hidden="false" customHeight="true" outlineLevel="0" collapsed="false">
      <c r="B9" s="133" t="s">
        <v>57</v>
      </c>
      <c r="C9" s="134" t="n">
        <f aca="false">COUNTIFS('RFQ Tracker'!I12:I511,"Y",'RFQ Tracker'!Z12:Z511,"Closed")</f>
        <v>8</v>
      </c>
      <c r="E9" s="133" t="s">
        <v>454</v>
      </c>
      <c r="F9" s="134" t="n">
        <f aca="false">COUNTIF('RFQ Tracker'!Y12:Y511,"No")</f>
        <v>0</v>
      </c>
      <c r="H9" s="133" t="s">
        <v>455</v>
      </c>
      <c r="I9" s="142" t="n">
        <f aca="false">IFERROR(SUMIFS('RFQ Tracker'!R12:R511,'RFQ Tracker'!Z12:Z511,"Closed"),0)</f>
        <v>1038450</v>
      </c>
    </row>
    <row r="10" customFormat="false" ht="19.5" hidden="false" customHeight="true" outlineLevel="0" collapsed="false">
      <c r="B10" s="136" t="s">
        <v>58</v>
      </c>
      <c r="C10" s="137" t="n">
        <f aca="false">COUNTIFS('RFQ Tracker'!I12:I511,"N",'RFQ Tracker'!Z12:Z511,"Closed")</f>
        <v>24</v>
      </c>
      <c r="E10" s="136" t="s">
        <v>456</v>
      </c>
      <c r="F10" s="137" t="str">
        <f aca="false">Settings!C8</f>
        <v>30</v>
      </c>
      <c r="H10" s="136" t="s">
        <v>457</v>
      </c>
      <c r="I10" s="141" t="n">
        <f aca="false">IFERROR(SUMIFS('RFQ Tracker'!T12:T511,'RFQ Tracker'!Z12:Z511,"Closed"),0)</f>
        <v>14700</v>
      </c>
    </row>
    <row r="14" customFormat="false" ht="24" hidden="false" customHeight="true" outlineLevel="0" collapsed="false">
      <c r="B14" s="123" t="s">
        <v>39</v>
      </c>
      <c r="C14" s="123"/>
      <c r="E14" s="131" t="s">
        <v>458</v>
      </c>
      <c r="F14" s="131"/>
    </row>
    <row r="15" customFormat="false" ht="18" hidden="false" customHeight="true" outlineLevel="0" collapsed="false">
      <c r="B15" s="143" t="s">
        <v>125</v>
      </c>
      <c r="C15" s="144" t="n">
        <f aca="false">COUNTIF('RFQ Tracker'!H12:H511,"Critical")</f>
        <v>17</v>
      </c>
      <c r="E15" s="145" t="s">
        <v>63</v>
      </c>
      <c r="F15" s="146" t="n">
        <f aca="false">COUNTIF('RFQ Tracker'!G12:G511,"Machined Parts")</f>
        <v>7</v>
      </c>
    </row>
    <row r="16" customFormat="false" ht="18" hidden="false" customHeight="true" outlineLevel="0" collapsed="false">
      <c r="B16" s="147" t="s">
        <v>108</v>
      </c>
      <c r="C16" s="148" t="n">
        <f aca="false">COUNTIF('RFQ Tracker'!H12:H511,"High")</f>
        <v>21</v>
      </c>
      <c r="E16" s="149" t="s">
        <v>64</v>
      </c>
      <c r="F16" s="150" t="n">
        <f aca="false">COUNTIF('RFQ Tracker'!G12:G511,"Fasteners")</f>
        <v>6</v>
      </c>
    </row>
    <row r="17" customFormat="false" ht="18" hidden="false" customHeight="true" outlineLevel="0" collapsed="false">
      <c r="B17" s="151" t="s">
        <v>139</v>
      </c>
      <c r="C17" s="152" t="n">
        <f aca="false">COUNTIF('RFQ Tracker'!H12:H511,"Medium")</f>
        <v>12</v>
      </c>
      <c r="E17" s="145" t="s">
        <v>65</v>
      </c>
      <c r="F17" s="146" t="n">
        <f aca="false">COUNTIF('RFQ Tracker'!G12:G511,"Composites")</f>
        <v>5</v>
      </c>
    </row>
    <row r="18" customFormat="false" ht="18" hidden="false" customHeight="true" outlineLevel="0" collapsed="false">
      <c r="B18" s="153" t="s">
        <v>118</v>
      </c>
      <c r="C18" s="154" t="n">
        <f aca="false">COUNTIF('RFQ Tracker'!H12:H511,"Low")</f>
        <v>10</v>
      </c>
      <c r="E18" s="149" t="s">
        <v>66</v>
      </c>
      <c r="F18" s="150" t="n">
        <f aca="false">COUNTIF('RFQ Tracker'!G12:G511,"Bearings")</f>
        <v>2</v>
      </c>
    </row>
    <row r="19" customFormat="false" ht="18" hidden="false" customHeight="true" outlineLevel="0" collapsed="false">
      <c r="E19" s="145" t="s">
        <v>67</v>
      </c>
      <c r="F19" s="146" t="n">
        <f aca="false">COUNTIF('RFQ Tracker'!G12:G511,"Raw Material")</f>
        <v>4</v>
      </c>
    </row>
    <row r="20" customFormat="false" ht="18" hidden="false" customHeight="true" outlineLevel="0" collapsed="false">
      <c r="E20" s="149" t="s">
        <v>68</v>
      </c>
      <c r="F20" s="150" t="n">
        <f aca="false">COUNTIF('RFQ Tracker'!G12:G511,"Actuation")</f>
        <v>2</v>
      </c>
    </row>
    <row r="21" customFormat="false" ht="18" hidden="false" customHeight="true" outlineLevel="0" collapsed="false">
      <c r="E21" s="145" t="s">
        <v>69</v>
      </c>
      <c r="F21" s="146" t="n">
        <f aca="false">COUNTIF('RFQ Tracker'!G12:G511,"Forgings")</f>
        <v>4</v>
      </c>
    </row>
    <row r="22" customFormat="false" ht="18" hidden="false" customHeight="true" outlineLevel="0" collapsed="false">
      <c r="E22" s="149" t="s">
        <v>70</v>
      </c>
      <c r="F22" s="150" t="n">
        <f aca="false">COUNTIF('RFQ Tracker'!G12:G511,"Seals/Gaskets")</f>
        <v>4</v>
      </c>
    </row>
    <row r="25" customFormat="false" ht="25.5" hidden="false" customHeight="true" outlineLevel="0" collapsed="false">
      <c r="B25" s="155" t="s">
        <v>459</v>
      </c>
      <c r="C25" s="155"/>
      <c r="D25" s="155"/>
      <c r="E25" s="155"/>
      <c r="F25" s="155"/>
      <c r="G25" s="155"/>
      <c r="H25" s="155"/>
      <c r="I25" s="155"/>
    </row>
    <row r="26" customFormat="false" ht="15" hidden="false" customHeight="true" outlineLevel="0" collapsed="false">
      <c r="B26" s="156" t="s">
        <v>460</v>
      </c>
      <c r="C26" s="156"/>
      <c r="D26" s="156"/>
      <c r="E26" s="156"/>
      <c r="F26" s="156"/>
      <c r="G26" s="156"/>
      <c r="H26" s="156"/>
      <c r="I26" s="156"/>
    </row>
    <row r="28" customFormat="false" ht="21.75" hidden="false" customHeight="true" outlineLevel="0" collapsed="false">
      <c r="B28" s="157" t="s">
        <v>461</v>
      </c>
      <c r="C28" s="157"/>
      <c r="E28" s="157" t="s">
        <v>462</v>
      </c>
      <c r="F28" s="157"/>
      <c r="H28" s="158" t="s">
        <v>463</v>
      </c>
      <c r="I28" s="159" t="s">
        <v>464</v>
      </c>
    </row>
    <row r="29" customFormat="false" ht="15" hidden="false" customHeight="true" outlineLevel="0" collapsed="false">
      <c r="B29" s="160" t="s">
        <v>465</v>
      </c>
      <c r="C29" s="161" t="n">
        <f aca="false">COUNTIFS('RFQ Tracker'!Z$12:Z511,"Open",'RFQ Tracker'!M$12:M511,"&lt;"&amp;-Settings!$C$8)</f>
        <v>0</v>
      </c>
      <c r="E29" s="160" t="s">
        <v>466</v>
      </c>
      <c r="F29" s="161" t="n">
        <f aca="false">COUNTIFS('RFQ Tracker'!Z$12:Z511,"Closed",'RFQ Tracker'!T$12:T511,"&lt;"&amp;0)</f>
        <v>3</v>
      </c>
      <c r="H29" s="160" t="s">
        <v>63</v>
      </c>
      <c r="I29" s="162" t="n">
        <f aca="false">IFERROR(AVERAGEIFS('RFQ Tracker'!X$12:X511,'RFQ Tracker'!G$12:G511,"Machined Parts",'RFQ Tracker'!X$12:X511,"&gt;"&amp;0),"—")</f>
        <v>37.6</v>
      </c>
    </row>
    <row r="30" customFormat="false" ht="15" hidden="false" customHeight="true" outlineLevel="0" collapsed="false">
      <c r="B30" s="163" t="s">
        <v>467</v>
      </c>
      <c r="C30" s="164" t="n">
        <f aca="false">COUNTIFS('RFQ Tracker'!Z$12:Z511,"Open",'RFQ Tracker'!P$12:P511,0)</f>
        <v>3</v>
      </c>
      <c r="E30" s="163" t="s">
        <v>468</v>
      </c>
      <c r="F30" s="164" t="n">
        <f aca="false">COUNTIFS('RFQ Tracker'!Z$12:Z511,"Closed",'RFQ Tracker'!T$12:T511,"&gt;="&amp;0)</f>
        <v>29</v>
      </c>
      <c r="H30" s="163" t="s">
        <v>64</v>
      </c>
      <c r="I30" s="165" t="n">
        <f aca="false">IFERROR(AVERAGEIFS('RFQ Tracker'!X$12:X511,'RFQ Tracker'!G$12:G511,"Fasteners",'RFQ Tracker'!X$12:X511,"&gt;"&amp;0),"—")</f>
        <v>35</v>
      </c>
    </row>
    <row r="31" customFormat="false" ht="15" hidden="false" customHeight="true" outlineLevel="0" collapsed="false">
      <c r="B31" s="160" t="s">
        <v>469</v>
      </c>
      <c r="C31" s="161" t="n">
        <f aca="false">COUNTIFS('RFQ Tracker'!Z$12:Z511,"Open",'RFQ Tracker'!O$12:O511,"N")</f>
        <v>13</v>
      </c>
      <c r="E31" s="160" t="s">
        <v>470</v>
      </c>
      <c r="F31" s="166" t="n">
        <f aca="false">IFERROR(COUNTIFS('RFQ Tracker'!Z$12:Z511,"Closed",'RFQ Tracker'!T$12:T511,"&lt;"&amp;0)/COUNTIF('RFQ Tracker'!Z$12:Z511,"Closed"),0)</f>
        <v>0.09375</v>
      </c>
      <c r="H31" s="160" t="s">
        <v>65</v>
      </c>
      <c r="I31" s="162" t="n">
        <f aca="false">IFERROR(AVERAGEIFS('RFQ Tracker'!X$12:X511,'RFQ Tracker'!G$12:G511,"Composites",'RFQ Tracker'!X$12:X511,"&gt;"&amp;0),"—")</f>
        <v>40</v>
      </c>
    </row>
    <row r="32" customFormat="false" ht="15" hidden="false" customHeight="true" outlineLevel="0" collapsed="false">
      <c r="B32" s="163" t="s">
        <v>471</v>
      </c>
      <c r="C32" s="164" t="n">
        <f aca="false">COUNTIFS('RFQ Tracker'!Z$12:Z511,"Open",'RFQ Tracker'!H$12:H511,"Critical")</f>
        <v>7</v>
      </c>
      <c r="E32" s="163" t="s">
        <v>472</v>
      </c>
      <c r="F32" s="167" t="n">
        <f aca="false">IFERROR(SUMIFS('RFQ Tracker'!T$12:T511,'RFQ Tracker'!Z$12:Z511,"Closed",'RFQ Tracker'!T$12:T511,"&lt;"&amp;0),0)</f>
        <v>-19200</v>
      </c>
      <c r="H32" s="163" t="s">
        <v>66</v>
      </c>
      <c r="I32" s="165" t="n">
        <f aca="false">IFERROR(AVERAGEIFS('RFQ Tracker'!X$12:X511,'RFQ Tracker'!G$12:G511,"Bearings",'RFQ Tracker'!X$12:X511,"&gt;"&amp;0),"—")</f>
        <v>34</v>
      </c>
    </row>
    <row r="33" customFormat="false" ht="15" hidden="false" customHeight="true" outlineLevel="0" collapsed="false">
      <c r="H33" s="160" t="s">
        <v>67</v>
      </c>
      <c r="I33" s="162" t="n">
        <f aca="false">IFERROR(AVERAGEIFS('RFQ Tracker'!X$12:X511,'RFQ Tracker'!G$12:G511,"Raw Material",'RFQ Tracker'!X$12:X511,"&gt;"&amp;0),"—")</f>
        <v>39</v>
      </c>
    </row>
    <row r="34" customFormat="false" ht="15" hidden="false" customHeight="true" outlineLevel="0" collapsed="false">
      <c r="H34" s="163" t="s">
        <v>68</v>
      </c>
      <c r="I34" s="165" t="n">
        <f aca="false">IFERROR(AVERAGEIFS('RFQ Tracker'!X$12:X511,'RFQ Tracker'!G$12:G511,"Actuation",'RFQ Tracker'!X$12:X511,"&gt;"&amp;0),"—")</f>
        <v>40</v>
      </c>
    </row>
    <row r="35" customFormat="false" ht="15" hidden="false" customHeight="true" outlineLevel="0" collapsed="false">
      <c r="H35" s="160" t="s">
        <v>69</v>
      </c>
      <c r="I35" s="162" t="n">
        <f aca="false">IFERROR(AVERAGEIFS('RFQ Tracker'!X$12:X511,'RFQ Tracker'!G$12:G511,"Forgings",'RFQ Tracker'!X$12:X511,"&gt;"&amp;0),"—")</f>
        <v>38.3333333333333</v>
      </c>
    </row>
    <row r="36" customFormat="false" ht="15" hidden="false" customHeight="true" outlineLevel="0" collapsed="false">
      <c r="H36" s="163" t="s">
        <v>70</v>
      </c>
      <c r="I36" s="165" t="str">
        <f aca="false">IFERROR(AVERAGEIFS('RFQ Tracker'!X$12:X511,'RFQ Tracker'!G$12:G511,"Seals/Gaskets",'RFQ Tracker'!X$12:X511,"&gt;"&amp;0),"—")</f>
        <v>—</v>
      </c>
    </row>
  </sheetData>
  <mergeCells count="10">
    <mergeCell ref="B2:I2"/>
    <mergeCell ref="B4:C4"/>
    <mergeCell ref="E4:F4"/>
    <mergeCell ref="H4:I4"/>
    <mergeCell ref="B14:C14"/>
    <mergeCell ref="E14:F14"/>
    <mergeCell ref="B25:I25"/>
    <mergeCell ref="B26:I26"/>
    <mergeCell ref="B28:C28"/>
    <mergeCell ref="E28:F28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2C3E50"/>
    <pageSetUpPr fitToPage="false"/>
  </sheetPr>
  <dimension ref="B2:Q1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3"/>
    <col collapsed="false" customWidth="true" hidden="false" outlineLevel="0" max="2" min="2" style="1" width="26"/>
    <col collapsed="false" customWidth="true" hidden="false" outlineLevel="0" max="14" min="3" style="1" width="9"/>
  </cols>
  <sheetData>
    <row r="2" customFormat="false" ht="37.5" hidden="false" customHeight="true" outlineLevel="0" collapsed="false">
      <c r="B2" s="102" t="s">
        <v>473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</row>
    <row r="4" customFormat="false" ht="18" hidden="false" customHeight="true" outlineLevel="0" collapsed="false">
      <c r="B4" s="103" t="s">
        <v>474</v>
      </c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03"/>
      <c r="P4" s="103"/>
      <c r="Q4" s="103"/>
    </row>
    <row r="6" customFormat="false" ht="27.75" hidden="false" customHeight="true" outlineLevel="0" collapsed="false">
      <c r="B6" s="168" t="s">
        <v>475</v>
      </c>
      <c r="C6" s="169" t="s">
        <v>476</v>
      </c>
      <c r="D6" s="169" t="s">
        <v>477</v>
      </c>
      <c r="E6" s="169" t="s">
        <v>478</v>
      </c>
      <c r="F6" s="169" t="s">
        <v>479</v>
      </c>
      <c r="G6" s="169" t="s">
        <v>480</v>
      </c>
      <c r="H6" s="169" t="s">
        <v>481</v>
      </c>
      <c r="I6" s="169" t="s">
        <v>482</v>
      </c>
      <c r="J6" s="169" t="s">
        <v>483</v>
      </c>
      <c r="K6" s="169" t="s">
        <v>484</v>
      </c>
      <c r="L6" s="169" t="s">
        <v>485</v>
      </c>
      <c r="M6" s="169" t="s">
        <v>486</v>
      </c>
      <c r="N6" s="170" t="s">
        <v>487</v>
      </c>
    </row>
    <row r="7" customFormat="false" ht="21.75" hidden="false" customHeight="true" outlineLevel="0" collapsed="false">
      <c r="B7" s="133" t="s">
        <v>488</v>
      </c>
      <c r="C7" s="171" t="n">
        <f aca="false">COUNTIFS('RFQ Tracker'!K12:K511,"&lt;"&amp;DATE(2025,4+1,1),'RFQ Tracker'!K12:K511,"&gt;="&amp;DATE(2025,4,1))</f>
        <v>0</v>
      </c>
      <c r="D7" s="171" t="n">
        <f aca="false">COUNTIFS('RFQ Tracker'!K12:K511,"&lt;"&amp;DATE(2025,5+1,1),'RFQ Tracker'!K12:K511,"&gt;="&amp;DATE(2025,5,1))</f>
        <v>0</v>
      </c>
      <c r="E7" s="171" t="n">
        <f aca="false">COUNTIFS('RFQ Tracker'!K12:K511,"&lt;"&amp;DATE(2025,6+1,1),'RFQ Tracker'!K12:K511,"&gt;="&amp;DATE(2025,6,1))</f>
        <v>0</v>
      </c>
      <c r="F7" s="171" t="n">
        <f aca="false">COUNTIFS('RFQ Tracker'!K12:K511,"&lt;"&amp;DATE(2025,7+1,1),'RFQ Tracker'!K12:K511,"&gt;="&amp;DATE(2025,7,1))</f>
        <v>0</v>
      </c>
      <c r="G7" s="171" t="n">
        <f aca="false">COUNTIFS('RFQ Tracker'!K12:K511,"&lt;"&amp;DATE(2025,8+1,1),'RFQ Tracker'!K12:K511,"&gt;="&amp;DATE(2025,8,1))</f>
        <v>1</v>
      </c>
      <c r="H7" s="171" t="n">
        <f aca="false">COUNTIFS('RFQ Tracker'!K12:K511,"&lt;"&amp;DATE(2025,9+1,1),'RFQ Tracker'!K12:K511,"&gt;="&amp;DATE(2025,9,1))</f>
        <v>3</v>
      </c>
      <c r="I7" s="171" t="n">
        <f aca="false">COUNTIFS('RFQ Tracker'!K12:K511,"&lt;"&amp;DATE(2025,10+1,1),'RFQ Tracker'!K12:K511,"&gt;="&amp;DATE(2025,10,1))</f>
        <v>3</v>
      </c>
      <c r="J7" s="171" t="n">
        <f aca="false">COUNTIFS('RFQ Tracker'!K12:K511,"&lt;"&amp;DATE(2025,11+1,1),'RFQ Tracker'!K12:K511,"&gt;="&amp;DATE(2025,11,1))</f>
        <v>4</v>
      </c>
      <c r="K7" s="171" t="n">
        <f aca="false">COUNTIFS('RFQ Tracker'!K12:K511,"&lt;"&amp;DATE(2025,12+1,1),'RFQ Tracker'!K12:K511,"&gt;="&amp;DATE(2025,12,1))</f>
        <v>4</v>
      </c>
      <c r="L7" s="171" t="n">
        <f aca="false">COUNTIFS('RFQ Tracker'!K12:K511,"&lt;"&amp;DATE(2026,1+1,1),'RFQ Tracker'!K12:K511,"&gt;="&amp;DATE(2026,1,1))</f>
        <v>18</v>
      </c>
      <c r="M7" s="171" t="n">
        <f aca="false">COUNTIFS('RFQ Tracker'!K12:K511,"&lt;"&amp;DATE(2026,2+1,1),'RFQ Tracker'!K12:K511,"&gt;="&amp;DATE(2026,2,1))</f>
        <v>26</v>
      </c>
      <c r="N7" s="171" t="n">
        <f aca="false">COUNTIFS('RFQ Tracker'!K12:K511,"&lt;"&amp;DATE(2026,3+1,1),'RFQ Tracker'!K12:K511,"&gt;="&amp;DATE(2026,3,1))</f>
        <v>1</v>
      </c>
    </row>
    <row r="8" customFormat="false" ht="21.75" hidden="false" customHeight="true" outlineLevel="0" collapsed="false">
      <c r="B8" s="136" t="s">
        <v>489</v>
      </c>
      <c r="C8" s="172" t="n">
        <f aca="false">COUNTIFS('RFQ Tracker'!L12:L511,"&lt;"&amp;DATE(2025,4+1,1),'RFQ Tracker'!L12:L511,"&gt;="&amp;DATE(2025,4,1))</f>
        <v>0</v>
      </c>
      <c r="D8" s="172" t="n">
        <f aca="false">COUNTIFS('RFQ Tracker'!L12:L511,"&lt;"&amp;DATE(2025,5+1,1),'RFQ Tracker'!L12:L511,"&gt;="&amp;DATE(2025,5,1))</f>
        <v>0</v>
      </c>
      <c r="E8" s="172" t="n">
        <f aca="false">COUNTIFS('RFQ Tracker'!L12:L511,"&lt;"&amp;DATE(2025,6+1,1),'RFQ Tracker'!L12:L511,"&gt;="&amp;DATE(2025,6,1))</f>
        <v>0</v>
      </c>
      <c r="F8" s="172" t="n">
        <f aca="false">COUNTIFS('RFQ Tracker'!L12:L511,"&lt;"&amp;DATE(2025,7+1,1),'RFQ Tracker'!L12:L511,"&gt;="&amp;DATE(2025,7,1))</f>
        <v>0</v>
      </c>
      <c r="G8" s="172" t="n">
        <f aca="false">COUNTIFS('RFQ Tracker'!L12:L511,"&lt;"&amp;DATE(2025,8+1,1),'RFQ Tracker'!L12:L511,"&gt;="&amp;DATE(2025,8,1))</f>
        <v>0</v>
      </c>
      <c r="H8" s="172" t="n">
        <f aca="false">COUNTIFS('RFQ Tracker'!L12:L511,"&lt;"&amp;DATE(2025,9+1,1),'RFQ Tracker'!L12:L511,"&gt;="&amp;DATE(2025,9,1))</f>
        <v>1</v>
      </c>
      <c r="I8" s="172" t="n">
        <f aca="false">COUNTIFS('RFQ Tracker'!L12:L511,"&lt;"&amp;DATE(2025,10+1,1),'RFQ Tracker'!L12:L511,"&gt;="&amp;DATE(2025,10,1))</f>
        <v>3</v>
      </c>
      <c r="J8" s="172" t="n">
        <f aca="false">COUNTIFS('RFQ Tracker'!L12:L511,"&lt;"&amp;DATE(2025,11+1,1),'RFQ Tracker'!L12:L511,"&gt;="&amp;DATE(2025,11,1))</f>
        <v>3</v>
      </c>
      <c r="K8" s="172" t="n">
        <f aca="false">COUNTIFS('RFQ Tracker'!L12:L511,"&lt;"&amp;DATE(2025,12+1,1),'RFQ Tracker'!L12:L511,"&gt;="&amp;DATE(2025,12,1))</f>
        <v>4</v>
      </c>
      <c r="L8" s="172" t="n">
        <f aca="false">COUNTIFS('RFQ Tracker'!L12:L511,"&lt;"&amp;DATE(2026,1+1,1),'RFQ Tracker'!L12:L511,"&gt;="&amp;DATE(2026,1,1))</f>
        <v>5</v>
      </c>
      <c r="M8" s="172" t="n">
        <f aca="false">COUNTIFS('RFQ Tracker'!L12:L511,"&lt;"&amp;DATE(2026,2+1,1),'RFQ Tracker'!L12:L511,"&gt;="&amp;DATE(2026,2,1))</f>
        <v>18</v>
      </c>
      <c r="N8" s="172" t="n">
        <f aca="false">COUNTIFS('RFQ Tracker'!L12:L511,"&lt;"&amp;DATE(2026,3+1,1),'RFQ Tracker'!L12:L511,"&gt;="&amp;DATE(2026,3,1))</f>
        <v>17</v>
      </c>
    </row>
    <row r="9" customFormat="false" ht="21.75" hidden="false" customHeight="true" outlineLevel="0" collapsed="false">
      <c r="B9" s="133" t="s">
        <v>490</v>
      </c>
      <c r="C9" s="171" t="n">
        <f aca="false">COUNTIFS('RFQ Tracker'!W12:W511,"&lt;"&amp;DATE(2025,4+1,1),'RFQ Tracker'!W12:W511,"&gt;="&amp;DATE(2025,4,1))</f>
        <v>0</v>
      </c>
      <c r="D9" s="171" t="n">
        <f aca="false">COUNTIFS('RFQ Tracker'!W12:W511,"&lt;"&amp;DATE(2025,5+1,1),'RFQ Tracker'!W12:W511,"&gt;="&amp;DATE(2025,5,1))</f>
        <v>0</v>
      </c>
      <c r="E9" s="171" t="n">
        <f aca="false">COUNTIFS('RFQ Tracker'!W12:W511,"&lt;"&amp;DATE(2025,6+1,1),'RFQ Tracker'!W12:W511,"&gt;="&amp;DATE(2025,6,1))</f>
        <v>0</v>
      </c>
      <c r="F9" s="171" t="n">
        <f aca="false">COUNTIFS('RFQ Tracker'!W12:W511,"&lt;"&amp;DATE(2025,7+1,1),'RFQ Tracker'!W12:W511,"&gt;="&amp;DATE(2025,7,1))</f>
        <v>0</v>
      </c>
      <c r="G9" s="171" t="n">
        <f aca="false">COUNTIFS('RFQ Tracker'!W12:W511,"&lt;"&amp;DATE(2025,8+1,1),'RFQ Tracker'!W12:W511,"&gt;="&amp;DATE(2025,8,1))</f>
        <v>0</v>
      </c>
      <c r="H9" s="171" t="n">
        <f aca="false">COUNTIFS('RFQ Tracker'!W12:W511,"&lt;"&amp;DATE(2025,9+1,1),'RFQ Tracker'!W12:W511,"&gt;="&amp;DATE(2025,9,1))</f>
        <v>0</v>
      </c>
      <c r="I9" s="171" t="n">
        <f aca="false">COUNTIFS('RFQ Tracker'!W12:W511,"&lt;"&amp;DATE(2025,10+1,1),'RFQ Tracker'!W12:W511,"&gt;="&amp;DATE(2025,10,1))</f>
        <v>3</v>
      </c>
      <c r="J9" s="171" t="n">
        <f aca="false">COUNTIFS('RFQ Tracker'!W12:W511,"&lt;"&amp;DATE(2025,11+1,1),'RFQ Tracker'!W12:W511,"&gt;="&amp;DATE(2025,11,1))</f>
        <v>3</v>
      </c>
      <c r="K9" s="171" t="n">
        <f aca="false">COUNTIFS('RFQ Tracker'!W12:W511,"&lt;"&amp;DATE(2025,12+1,1),'RFQ Tracker'!W12:W511,"&gt;="&amp;DATE(2025,12,1))</f>
        <v>3</v>
      </c>
      <c r="L9" s="171" t="n">
        <f aca="false">COUNTIFS('RFQ Tracker'!W12:W511,"&lt;"&amp;DATE(2026,1+1,1),'RFQ Tracker'!W12:W511,"&gt;="&amp;DATE(2026,1,1))</f>
        <v>5</v>
      </c>
      <c r="M9" s="171" t="n">
        <f aca="false">COUNTIFS('RFQ Tracker'!W12:W511,"&lt;"&amp;DATE(2026,2+1,1),'RFQ Tracker'!W12:W511,"&gt;="&amp;DATE(2026,2,1))</f>
        <v>15</v>
      </c>
      <c r="N9" s="171" t="n">
        <f aca="false">COUNTIFS('RFQ Tracker'!W12:W511,"&lt;"&amp;DATE(2026,3+1,1),'RFQ Tracker'!W12:W511,"&gt;="&amp;DATE(2026,3,1))</f>
        <v>3</v>
      </c>
    </row>
    <row r="11" customFormat="false" ht="18" hidden="false" customHeight="true" outlineLevel="0" collapsed="false">
      <c r="B11" s="173" t="s">
        <v>491</v>
      </c>
      <c r="C11" s="173"/>
      <c r="D11" s="173"/>
      <c r="E11" s="173"/>
      <c r="F11" s="173"/>
      <c r="G11" s="173"/>
      <c r="H11" s="173"/>
      <c r="I11" s="173"/>
      <c r="J11" s="173"/>
      <c r="K11" s="173"/>
      <c r="L11" s="173"/>
      <c r="M11" s="173"/>
      <c r="N11" s="173"/>
      <c r="O11" s="173"/>
      <c r="P11" s="173"/>
      <c r="Q11" s="173"/>
    </row>
  </sheetData>
  <mergeCells count="3">
    <mergeCell ref="B2:Q2"/>
    <mergeCell ref="B4:Q4"/>
    <mergeCell ref="B11:Q11"/>
  </mergeCells>
  <conditionalFormatting sqref="C7:N7">
    <cfRule type="dataBar" priority="2">
      <dataBar showValue="1" minLength="10" maxLength="90">
        <cfvo type="num" val="0"/>
        <cfvo type="num" val="5"/>
        <color rgb="FF2980B9"/>
      </dataBar>
      <extLst>
        <ext xmlns:x14="http://schemas.microsoft.com/office/spreadsheetml/2009/9/main" uri="{B025F937-C7B1-47D3-B67F-A62EFF666E3E}">
          <x14:id>{CB84AAF7-82F5-43FB-ACF1-812ED0BAE76F}</x14:id>
        </ext>
      </extLst>
    </cfRule>
  </conditionalFormatting>
  <conditionalFormatting sqref="C8:N8">
    <cfRule type="dataBar" priority="3">
      <dataBar showValue="1" minLength="10" maxLength="90">
        <cfvo type="num" val="0"/>
        <cfvo type="num" val="5"/>
        <color rgb="FFE74C3C"/>
      </dataBar>
      <extLst>
        <ext xmlns:x14="http://schemas.microsoft.com/office/spreadsheetml/2009/9/main" uri="{B025F937-C7B1-47D3-B67F-A62EFF666E3E}">
          <x14:id>{8EE6CC49-273D-422B-B48A-BBC1343B338E}</x14:id>
        </ext>
      </extLst>
    </cfRule>
  </conditionalFormatting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CB84AAF7-82F5-43FB-ACF1-812ED0BAE76F}">
            <x14:dataBar minLength="10" maxLength="90" axisPosition="none" gradient="true">
              <x14:cfvo type="num">
                <xm:f>0</xm:f>
              </x14:cfvo>
              <x14:cfvo type="num">
                <xm:f>5</xm:f>
              </x14:cfvo>
              <x14:negativeFillColor rgb="FF2980B9"/>
              <x14:axisColor rgb="FF000000"/>
            </x14:dataBar>
          </x14:cfRule>
          <xm:sqref>C7:N7</xm:sqref>
        </x14:conditionalFormatting>
        <x14:conditionalFormatting xmlns:xm="http://schemas.microsoft.com/office/excel/2006/main">
          <x14:cfRule type="dataBar" id="{8EE6CC49-273D-422B-B48A-BBC1343B338E}">
            <x14:dataBar minLength="10" maxLength="90" axisPosition="none" gradient="true">
              <x14:cfvo type="num">
                <xm:f>0</xm:f>
              </x14:cfvo>
              <x14:cfvo type="num">
                <xm:f>5</xm:f>
              </x14:cfvo>
              <x14:negativeFillColor rgb="FFE74C3C"/>
              <x14:axisColor rgb="FF000000"/>
            </x14:dataBar>
          </x14:cfRule>
          <xm:sqref>C8:N8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27AE60"/>
    <pageSetUpPr fitToPage="false"/>
  </sheetPr>
  <dimension ref="B2:I1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3"/>
    <col collapsed="false" customWidth="true" hidden="false" outlineLevel="0" max="2" min="2" style="1" width="22"/>
    <col collapsed="false" customWidth="true" hidden="false" outlineLevel="0" max="3" min="3" style="1" width="12"/>
    <col collapsed="false" customWidth="true" hidden="false" outlineLevel="0" max="5" min="4" style="1" width="20"/>
    <col collapsed="false" customWidth="true" hidden="false" outlineLevel="0" max="6" min="6" style="1" width="14"/>
    <col collapsed="false" customWidth="true" hidden="false" outlineLevel="0" max="7" min="7" style="1" width="20"/>
    <col collapsed="false" customWidth="true" hidden="false" outlineLevel="0" max="8" min="8" style="1" width="26"/>
    <col collapsed="false" customWidth="true" hidden="false" outlineLevel="0" max="9" min="9" style="1" width="16"/>
  </cols>
  <sheetData>
    <row r="2" customFormat="false" ht="37.5" hidden="false" customHeight="true" outlineLevel="0" collapsed="false">
      <c r="B2" s="102" t="s">
        <v>492</v>
      </c>
      <c r="C2" s="102"/>
      <c r="D2" s="102"/>
      <c r="E2" s="102"/>
      <c r="F2" s="102"/>
      <c r="G2" s="102"/>
      <c r="H2" s="102"/>
      <c r="I2" s="102"/>
    </row>
    <row r="4" customFormat="false" ht="30" hidden="false" customHeight="true" outlineLevel="0" collapsed="false">
      <c r="B4" s="79" t="s">
        <v>406</v>
      </c>
      <c r="C4" s="79" t="s">
        <v>493</v>
      </c>
      <c r="D4" s="79" t="s">
        <v>494</v>
      </c>
      <c r="E4" s="79" t="s">
        <v>61</v>
      </c>
      <c r="F4" s="79" t="s">
        <v>495</v>
      </c>
      <c r="G4" s="79" t="s">
        <v>496</v>
      </c>
      <c r="H4" s="79" t="s">
        <v>497</v>
      </c>
      <c r="I4" s="79" t="s">
        <v>498</v>
      </c>
    </row>
    <row r="5" customFormat="false" ht="18" hidden="false" customHeight="true" outlineLevel="0" collapsed="false">
      <c r="B5" s="174" t="s">
        <v>110</v>
      </c>
      <c r="C5" s="175" t="s">
        <v>499</v>
      </c>
      <c r="D5" s="174" t="s">
        <v>500</v>
      </c>
      <c r="E5" s="174" t="s">
        <v>63</v>
      </c>
      <c r="F5" s="175" t="s">
        <v>111</v>
      </c>
      <c r="G5" s="174" t="s">
        <v>501</v>
      </c>
      <c r="H5" s="174" t="s">
        <v>502</v>
      </c>
      <c r="I5" s="176" t="s">
        <v>111</v>
      </c>
    </row>
    <row r="6" customFormat="false" ht="18" hidden="false" customHeight="true" outlineLevel="0" collapsed="false">
      <c r="B6" s="149" t="s">
        <v>126</v>
      </c>
      <c r="C6" s="177" t="s">
        <v>503</v>
      </c>
      <c r="D6" s="149" t="s">
        <v>504</v>
      </c>
      <c r="E6" s="149" t="s">
        <v>65</v>
      </c>
      <c r="F6" s="177" t="s">
        <v>111</v>
      </c>
      <c r="G6" s="149" t="s">
        <v>505</v>
      </c>
      <c r="H6" s="149" t="s">
        <v>506</v>
      </c>
      <c r="I6" s="178" t="s">
        <v>111</v>
      </c>
    </row>
    <row r="7" customFormat="false" ht="18" hidden="false" customHeight="true" outlineLevel="0" collapsed="false">
      <c r="B7" s="174" t="s">
        <v>119</v>
      </c>
      <c r="C7" s="175" t="s">
        <v>507</v>
      </c>
      <c r="D7" s="174" t="s">
        <v>508</v>
      </c>
      <c r="E7" s="174" t="s">
        <v>64</v>
      </c>
      <c r="F7" s="175" t="s">
        <v>109</v>
      </c>
      <c r="G7" s="174" t="s">
        <v>509</v>
      </c>
      <c r="H7" s="174" t="s">
        <v>510</v>
      </c>
      <c r="I7" s="176" t="s">
        <v>111</v>
      </c>
    </row>
    <row r="8" customFormat="false" ht="18" hidden="false" customHeight="true" outlineLevel="0" collapsed="false">
      <c r="B8" s="149" t="s">
        <v>145</v>
      </c>
      <c r="C8" s="177" t="s">
        <v>511</v>
      </c>
      <c r="D8" s="149" t="s">
        <v>512</v>
      </c>
      <c r="E8" s="149" t="s">
        <v>68</v>
      </c>
      <c r="F8" s="177" t="s">
        <v>111</v>
      </c>
      <c r="G8" s="149" t="s">
        <v>513</v>
      </c>
      <c r="H8" s="149" t="s">
        <v>514</v>
      </c>
      <c r="I8" s="178" t="s">
        <v>111</v>
      </c>
    </row>
    <row r="9" customFormat="false" ht="18" hidden="false" customHeight="true" outlineLevel="0" collapsed="false">
      <c r="B9" s="174" t="s">
        <v>150</v>
      </c>
      <c r="C9" s="175" t="s">
        <v>515</v>
      </c>
      <c r="D9" s="174" t="s">
        <v>516</v>
      </c>
      <c r="E9" s="174" t="s">
        <v>69</v>
      </c>
      <c r="F9" s="175" t="s">
        <v>111</v>
      </c>
      <c r="G9" s="174" t="s">
        <v>517</v>
      </c>
      <c r="H9" s="174" t="s">
        <v>518</v>
      </c>
      <c r="I9" s="176" t="s">
        <v>111</v>
      </c>
    </row>
    <row r="10" customFormat="false" ht="18" hidden="false" customHeight="true" outlineLevel="0" collapsed="false">
      <c r="B10" s="149" t="s">
        <v>155</v>
      </c>
      <c r="C10" s="177" t="s">
        <v>519</v>
      </c>
      <c r="D10" s="149" t="s">
        <v>516</v>
      </c>
      <c r="E10" s="149" t="s">
        <v>520</v>
      </c>
      <c r="F10" s="177" t="s">
        <v>111</v>
      </c>
      <c r="G10" s="149" t="s">
        <v>521</v>
      </c>
      <c r="H10" s="149" t="s">
        <v>522</v>
      </c>
      <c r="I10" s="178" t="s">
        <v>111</v>
      </c>
    </row>
    <row r="11" customFormat="false" ht="18" hidden="false" customHeight="true" outlineLevel="0" collapsed="false">
      <c r="B11" s="174" t="s">
        <v>161</v>
      </c>
      <c r="C11" s="175" t="s">
        <v>523</v>
      </c>
      <c r="D11" s="174" t="s">
        <v>524</v>
      </c>
      <c r="E11" s="174" t="s">
        <v>160</v>
      </c>
      <c r="F11" s="175" t="s">
        <v>111</v>
      </c>
      <c r="G11" s="174" t="s">
        <v>525</v>
      </c>
      <c r="H11" s="174" t="s">
        <v>526</v>
      </c>
      <c r="I11" s="176" t="s">
        <v>111</v>
      </c>
    </row>
    <row r="12" customFormat="false" ht="18" hidden="false" customHeight="true" outlineLevel="0" collapsed="false">
      <c r="B12" s="149" t="s">
        <v>168</v>
      </c>
      <c r="C12" s="177" t="s">
        <v>527</v>
      </c>
      <c r="D12" s="149" t="s">
        <v>528</v>
      </c>
      <c r="E12" s="149" t="s">
        <v>167</v>
      </c>
      <c r="F12" s="177" t="s">
        <v>111</v>
      </c>
      <c r="G12" s="149" t="s">
        <v>529</v>
      </c>
      <c r="H12" s="149" t="s">
        <v>530</v>
      </c>
      <c r="I12" s="178" t="s">
        <v>111</v>
      </c>
    </row>
    <row r="13" customFormat="false" ht="18" hidden="false" customHeight="true" outlineLevel="0" collapsed="false">
      <c r="B13" s="174" t="s">
        <v>174</v>
      </c>
      <c r="C13" s="175" t="s">
        <v>531</v>
      </c>
      <c r="D13" s="174" t="s">
        <v>532</v>
      </c>
      <c r="E13" s="174" t="s">
        <v>173</v>
      </c>
      <c r="F13" s="175" t="s">
        <v>111</v>
      </c>
      <c r="G13" s="174" t="s">
        <v>533</v>
      </c>
      <c r="H13" s="174" t="s">
        <v>534</v>
      </c>
      <c r="I13" s="176" t="s">
        <v>111</v>
      </c>
    </row>
    <row r="14" customFormat="false" ht="18" hidden="false" customHeight="true" outlineLevel="0" collapsed="false">
      <c r="B14" s="149" t="s">
        <v>184</v>
      </c>
      <c r="C14" s="177" t="s">
        <v>535</v>
      </c>
      <c r="D14" s="149" t="s">
        <v>536</v>
      </c>
      <c r="E14" s="149" t="s">
        <v>183</v>
      </c>
      <c r="F14" s="177" t="s">
        <v>111</v>
      </c>
      <c r="G14" s="149" t="s">
        <v>537</v>
      </c>
      <c r="H14" s="149" t="s">
        <v>538</v>
      </c>
      <c r="I14" s="178" t="s">
        <v>111</v>
      </c>
    </row>
    <row r="15" customFormat="false" ht="18" hidden="false" customHeight="true" outlineLevel="0" collapsed="false">
      <c r="B15" s="174" t="s">
        <v>189</v>
      </c>
      <c r="C15" s="175" t="s">
        <v>539</v>
      </c>
      <c r="D15" s="174" t="s">
        <v>540</v>
      </c>
      <c r="E15" s="174" t="s">
        <v>67</v>
      </c>
      <c r="F15" s="175" t="s">
        <v>109</v>
      </c>
      <c r="G15" s="174" t="s">
        <v>541</v>
      </c>
      <c r="H15" s="174" t="s">
        <v>542</v>
      </c>
      <c r="I15" s="176" t="s">
        <v>111</v>
      </c>
    </row>
    <row r="16" customFormat="false" ht="18" hidden="false" customHeight="true" outlineLevel="0" collapsed="false">
      <c r="B16" s="149" t="s">
        <v>194</v>
      </c>
      <c r="C16" s="177" t="s">
        <v>543</v>
      </c>
      <c r="D16" s="149" t="s">
        <v>544</v>
      </c>
      <c r="E16" s="149" t="s">
        <v>193</v>
      </c>
      <c r="F16" s="177" t="s">
        <v>111</v>
      </c>
      <c r="G16" s="149" t="s">
        <v>545</v>
      </c>
      <c r="H16" s="149" t="s">
        <v>546</v>
      </c>
      <c r="I16" s="178" t="s">
        <v>111</v>
      </c>
    </row>
    <row r="17" customFormat="false" ht="18" hidden="false" customHeight="true" outlineLevel="0" collapsed="false">
      <c r="B17" s="174" t="s">
        <v>178</v>
      </c>
      <c r="C17" s="175" t="s">
        <v>547</v>
      </c>
      <c r="D17" s="174" t="s">
        <v>548</v>
      </c>
      <c r="E17" s="174" t="s">
        <v>64</v>
      </c>
      <c r="F17" s="175" t="s">
        <v>109</v>
      </c>
      <c r="G17" s="174" t="s">
        <v>549</v>
      </c>
      <c r="H17" s="174" t="s">
        <v>550</v>
      </c>
      <c r="I17" s="176" t="s">
        <v>111</v>
      </c>
    </row>
    <row r="18" customFormat="false" ht="18" hidden="false" customHeight="true" outlineLevel="0" collapsed="false">
      <c r="B18" s="149" t="s">
        <v>133</v>
      </c>
      <c r="C18" s="177" t="s">
        <v>551</v>
      </c>
      <c r="D18" s="149" t="s">
        <v>552</v>
      </c>
      <c r="E18" s="149" t="s">
        <v>66</v>
      </c>
      <c r="F18" s="177" t="s">
        <v>111</v>
      </c>
      <c r="G18" s="149" t="s">
        <v>553</v>
      </c>
      <c r="H18" s="149" t="s">
        <v>554</v>
      </c>
      <c r="I18" s="178" t="s">
        <v>111</v>
      </c>
    </row>
    <row r="19" customFormat="false" ht="18" hidden="false" customHeight="true" outlineLevel="0" collapsed="false">
      <c r="B19" s="174" t="s">
        <v>140</v>
      </c>
      <c r="C19" s="175" t="s">
        <v>555</v>
      </c>
      <c r="D19" s="174" t="s">
        <v>556</v>
      </c>
      <c r="E19" s="174" t="s">
        <v>67</v>
      </c>
      <c r="F19" s="175" t="s">
        <v>109</v>
      </c>
      <c r="G19" s="174" t="s">
        <v>557</v>
      </c>
      <c r="H19" s="174" t="s">
        <v>558</v>
      </c>
      <c r="I19" s="176" t="s">
        <v>111</v>
      </c>
    </row>
  </sheetData>
  <mergeCells count="1">
    <mergeCell ref="B2:I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8E44AD"/>
    <pageSetUpPr fitToPage="false"/>
  </sheetPr>
  <dimension ref="B2:D14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3"/>
    <col collapsed="false" customWidth="true" hidden="false" outlineLevel="0" max="2" min="2" style="1" width="32"/>
    <col collapsed="false" customWidth="true" hidden="false" outlineLevel="0" max="3" min="3" style="1" width="28"/>
    <col collapsed="false" customWidth="true" hidden="false" outlineLevel="0" max="4" min="4" style="1" width="40"/>
  </cols>
  <sheetData>
    <row r="2" customFormat="false" ht="34.5" hidden="false" customHeight="true" outlineLevel="0" collapsed="false">
      <c r="B2" s="179" t="s">
        <v>559</v>
      </c>
      <c r="C2" s="179"/>
      <c r="D2" s="179"/>
    </row>
    <row r="4" customFormat="false" ht="21.75" hidden="false" customHeight="true" outlineLevel="0" collapsed="false">
      <c r="B4" s="108" t="s">
        <v>560</v>
      </c>
      <c r="C4" s="108" t="s">
        <v>561</v>
      </c>
      <c r="D4" s="108" t="s">
        <v>405</v>
      </c>
    </row>
    <row r="5" customFormat="false" ht="19.5" hidden="false" customHeight="true" outlineLevel="0" collapsed="false">
      <c r="B5" s="104" t="s">
        <v>562</v>
      </c>
      <c r="C5" s="180" t="s">
        <v>563</v>
      </c>
      <c r="D5" s="181" t="s">
        <v>564</v>
      </c>
    </row>
    <row r="6" customFormat="false" ht="19.5" hidden="false" customHeight="true" outlineLevel="0" collapsed="false">
      <c r="B6" s="182" t="s">
        <v>565</v>
      </c>
      <c r="C6" s="183" t="s">
        <v>566</v>
      </c>
      <c r="D6" s="184" t="s">
        <v>567</v>
      </c>
    </row>
    <row r="7" customFormat="false" ht="19.5" hidden="false" customHeight="true" outlineLevel="0" collapsed="false">
      <c r="B7" s="104" t="s">
        <v>568</v>
      </c>
      <c r="C7" s="180" t="s">
        <v>569</v>
      </c>
      <c r="D7" s="181" t="s">
        <v>570</v>
      </c>
    </row>
    <row r="8" customFormat="false" ht="19.5" hidden="false" customHeight="true" outlineLevel="0" collapsed="false">
      <c r="B8" s="182" t="s">
        <v>571</v>
      </c>
      <c r="C8" s="183" t="s">
        <v>572</v>
      </c>
      <c r="D8" s="184" t="s">
        <v>573</v>
      </c>
    </row>
    <row r="9" customFormat="false" ht="19.5" hidden="false" customHeight="true" outlineLevel="0" collapsed="false">
      <c r="B9" s="104" t="s">
        <v>574</v>
      </c>
      <c r="C9" s="180" t="s">
        <v>575</v>
      </c>
      <c r="D9" s="181" t="s">
        <v>576</v>
      </c>
    </row>
    <row r="10" customFormat="false" ht="19.5" hidden="false" customHeight="true" outlineLevel="0" collapsed="false">
      <c r="B10" s="182" t="s">
        <v>577</v>
      </c>
      <c r="C10" s="183" t="s">
        <v>575</v>
      </c>
      <c r="D10" s="184" t="s">
        <v>578</v>
      </c>
    </row>
    <row r="11" customFormat="false" ht="19.5" hidden="false" customHeight="true" outlineLevel="0" collapsed="false">
      <c r="B11" s="104" t="s">
        <v>579</v>
      </c>
      <c r="C11" s="180" t="s">
        <v>580</v>
      </c>
      <c r="D11" s="181" t="s">
        <v>581</v>
      </c>
    </row>
    <row r="12" customFormat="false" ht="19.5" hidden="false" customHeight="true" outlineLevel="0" collapsed="false">
      <c r="B12" s="182" t="s">
        <v>582</v>
      </c>
      <c r="C12" s="183" t="s">
        <v>3</v>
      </c>
      <c r="D12" s="184" t="s">
        <v>583</v>
      </c>
    </row>
    <row r="13" customFormat="false" ht="15" hidden="false" customHeight="true" outlineLevel="0" collapsed="false">
      <c r="B13" s="185" t="s">
        <v>584</v>
      </c>
      <c r="C13" s="186" t="n">
        <f aca="true">TODAY()</f>
        <v>46088</v>
      </c>
      <c r="D13" s="187" t="s">
        <v>585</v>
      </c>
    </row>
    <row r="14" customFormat="false" ht="21.75" hidden="false" customHeight="true" outlineLevel="0" collapsed="false">
      <c r="B14" s="188" t="s">
        <v>586</v>
      </c>
      <c r="C14" s="188"/>
      <c r="D14" s="188"/>
    </row>
  </sheetData>
  <mergeCells count="2">
    <mergeCell ref="B2:D2"/>
    <mergeCell ref="B14:D14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2026-03-02T05:02:29Z</dcterms:created>
  <dc:creator>openpyxl</dc:creator>
  <dc:description/>
  <dc:language>en-US</dc:language>
  <cp:lastModifiedBy/>
  <dcterms:modified xsi:type="dcterms:W3CDTF">2026-03-07T03:25:01Z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